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385" activeTab="0"/>
  </bookViews>
  <sheets>
    <sheet name="на 01.01.2023" sheetId="1" r:id="rId1"/>
  </sheets>
  <definedNames>
    <definedName name="_xlnm.Print_Titles" localSheetId="0">'на 01.01.2023'!$6:$8</definedName>
    <definedName name="_xlnm.Print_Area" localSheetId="0">'на 01.01.2023'!$A$1:$J$214</definedName>
  </definedNames>
  <calcPr fullCalcOnLoad="1"/>
</workbook>
</file>

<file path=xl/comments1.xml><?xml version="1.0" encoding="utf-8"?>
<comments xmlns="http://schemas.openxmlformats.org/spreadsheetml/2006/main">
  <authors>
    <author>Користувач Windows</author>
    <author>Панасюк Оксана Іванівна</author>
  </authors>
  <commentList>
    <comment ref="H22" authorId="0">
      <text>
        <r>
          <rPr>
            <sz val="9"/>
            <rFont val="Tahoma"/>
            <family val="2"/>
          </rPr>
          <t xml:space="preserve">перерахунок пені лист ДКСУ від08.08.2018 №11-05-1/68-12974
</t>
        </r>
      </text>
    </comment>
    <comment ref="F42" authorId="1">
      <text>
        <r>
          <rPr>
            <sz val="9"/>
            <rFont val="Tahoma"/>
            <family val="2"/>
          </rPr>
          <t xml:space="preserve">
не було відображено відсотки за надання гарантії</t>
        </r>
      </text>
    </comment>
  </commentList>
</comments>
</file>

<file path=xl/sharedStrings.xml><?xml version="1.0" encoding="utf-8"?>
<sst xmlns="http://schemas.openxmlformats.org/spreadsheetml/2006/main" count="512" uniqueCount="433">
  <si>
    <t>УО "Укрфармація"</t>
  </si>
  <si>
    <t>ВАТ "Текстерно"</t>
  </si>
  <si>
    <t>ВАТ "Херсонський бавовняний комбінат"</t>
  </si>
  <si>
    <t>Корпорація "Украгропромбіржа"</t>
  </si>
  <si>
    <t>Українська аграрна біржа</t>
  </si>
  <si>
    <t>Концерн "Украгротехсервіс"</t>
  </si>
  <si>
    <t>Агрофірма "Зоря"</t>
  </si>
  <si>
    <t>ТОВ "Кріогенні технології"</t>
  </si>
  <si>
    <t>Державне агантство резерву України</t>
  </si>
  <si>
    <t>Київський авіаційний завод "Авіант" (ДП "Антонов")</t>
  </si>
  <si>
    <t>Харківське державне авіаційне виробниче підприємство</t>
  </si>
  <si>
    <t>ДП "ДБУНП "Повітряний експрес"</t>
  </si>
  <si>
    <t>ЗАТ "Ворскла"</t>
  </si>
  <si>
    <t>КП "Водопостачання м. Вознесенська"</t>
  </si>
  <si>
    <t>ЗАТ “Сумикамволь”</t>
  </si>
  <si>
    <t>ТОВ "Харківська Регіональна Лізінгова компанія"  с/г техн. (Південмаш)</t>
  </si>
  <si>
    <t>ТОВ "Харківська Регіональна Лізінгова компанія" с/г техн.(ХТЗ)</t>
  </si>
  <si>
    <t>ВАТ "Львівагрореммашпостач"</t>
  </si>
  <si>
    <t>СП "Дако", ВСП Агрофірма "Вікторія" СУФП "Дако", ВСП Агрофірма "Уманська МТС" СУФП "Дако", ВСП Агрофірма "Вереміївська машино-технологічна станція" СУФП "Дако", ВСП Агрофірма "Лівобережна" СУФП "Дако", ВСП Агрофірма "Світанок" СУФП "Дако"</t>
  </si>
  <si>
    <t>СП "Укрінтерцукор"</t>
  </si>
  <si>
    <t xml:space="preserve">КПДТФ "Дніпрянка" </t>
  </si>
  <si>
    <t>ВАТ "Украгротех"</t>
  </si>
  <si>
    <t>ВНО "Укрптахопром"</t>
  </si>
  <si>
    <t>ЗАТ "Гібрид-С"</t>
  </si>
  <si>
    <t xml:space="preserve">ВАТ "Надвірнянський лісокомбінат" </t>
  </si>
  <si>
    <t>АТ "Кріопром"</t>
  </si>
  <si>
    <t xml:space="preserve">Концерн "Південриба", 
АТ "Південриббуд" </t>
  </si>
  <si>
    <t>Академія медичних наук</t>
  </si>
  <si>
    <t xml:space="preserve">Інженерно-технічний центр "Сумиоблагротехсервіс", </t>
  </si>
  <si>
    <t xml:space="preserve">Інженерно - технічний центр "Сумиагротранс" </t>
  </si>
  <si>
    <t>Міжрайонний торговий будинок "Агротехсервіс"</t>
  </si>
  <si>
    <t>Підстави надання гарантії/кредиту</t>
  </si>
  <si>
    <t>Дата та номер гарантії/угоди
(ким підписана)</t>
  </si>
  <si>
    <t>Крім того, нараховано пені
млн. грн.</t>
  </si>
  <si>
    <t>Цільве призначення кредиту</t>
  </si>
  <si>
    <t>№ 40-1987/96 від 23.10.1992
(Слєпічев О.І.)</t>
  </si>
  <si>
    <t>устаткування для заводу по виробництву склотари</t>
  </si>
  <si>
    <t>євро</t>
  </si>
  <si>
    <t>яп</t>
  </si>
  <si>
    <t>дол</t>
  </si>
  <si>
    <t>Сума оформленого кредиту
млн. дол. США</t>
  </si>
  <si>
    <t>сільгосптехніка, запчастини</t>
  </si>
  <si>
    <t xml:space="preserve">ВАТ "Агропромінвест" </t>
  </si>
  <si>
    <t>ЗАТ "Світанок"</t>
  </si>
  <si>
    <t>розпорядження кму від 03.07.1996 №419-р</t>
  </si>
  <si>
    <t>№ 22-1821 від 11.07.1996  (Лазаренко П.І.)</t>
  </si>
  <si>
    <t>Указ Президента України від 04.03.1998 №166/98</t>
  </si>
  <si>
    <t>промислове обладнання</t>
  </si>
  <si>
    <t>протокол ВКР від 05.08.1992 №2(28)</t>
  </si>
  <si>
    <t>товари народного вжитку, продукти харчування</t>
  </si>
  <si>
    <t>протокол ВКР від 04.11.1993 №6(32)</t>
  </si>
  <si>
    <t>№40-2260/96 від 25.10.1993 
(Ландик В. І.)</t>
  </si>
  <si>
    <t>постанова КМУ від 31.01.1997 №104</t>
  </si>
  <si>
    <t>№40-406/97 від 07.02.1997 
(Шпек Р. В.)</t>
  </si>
  <si>
    <t>сільгосптехніка</t>
  </si>
  <si>
    <t>постанова КМУ від 31.01.97 № 104</t>
  </si>
  <si>
    <t>постанова  КМУ від 25.12.1996 №1549</t>
  </si>
  <si>
    <t>фольгопрокатне обладнаня для виготовлення алюмінієвої фольги</t>
  </si>
  <si>
    <t>протокол ВКР від 14.10.1994 №2(42)</t>
  </si>
  <si>
    <t>№40-1814/96 від 26.10.1994
 (Мітюков І. О.)</t>
  </si>
  <si>
    <t>сировина</t>
  </si>
  <si>
    <t>№40-1813/96 від 26.10.1994 
(Мітюков І. О.)</t>
  </si>
  <si>
    <t>№40-2211/96 від 26.11.1992 
(Юхновський І. Р.)</t>
  </si>
  <si>
    <t>будівництво заводу для виробництва поліетилену</t>
  </si>
  <si>
    <t>постанова КМУ від 31.01.1997 №103</t>
  </si>
  <si>
    <t>№40-409/97 від 07.02.1997
 (Шпек В. В.)</t>
  </si>
  <si>
    <t>№ 40-406/97 від 07.02.97   
(Шпек Р.В.)</t>
  </si>
  <si>
    <t>№27-304/166 від 27.05.1998 
(Мітюков І. О.)</t>
  </si>
  <si>
    <t>постанова КМУ ВІД 01.07.1997 №648</t>
  </si>
  <si>
    <t>№40-1840/96 ВІД 15.07.1997 
(Шпек Р. В.)</t>
  </si>
  <si>
    <t>постанова КМУ від31.01.1997 №106</t>
  </si>
  <si>
    <t>№40-404/96 від 07.02.1997
(Шпек Р. В.)</t>
  </si>
  <si>
    <t xml:space="preserve">Луганська обласна державна адміністрація </t>
  </si>
  <si>
    <t>постанова КМУ від 06.06.2011 №598</t>
  </si>
  <si>
    <t>Гарантійна угода від 26.12.2011
Договір про погашення заборгованості від 27.03.2013</t>
  </si>
  <si>
    <t>технічне переоснащення, модернізація</t>
  </si>
  <si>
    <t>постанова КМУ від 31.01.1997 №107</t>
  </si>
  <si>
    <t>№40-410/96 від 07.02.1997 
(Шпек Р. В.)</t>
  </si>
  <si>
    <t>протокол ВКР від 7-9.07.1992 №2</t>
  </si>
  <si>
    <t>№21-1479/96 від 10.07.1992 
(Слєпічев О. І.)</t>
  </si>
  <si>
    <t>протокол ВКР від 12.02.1993 №5(18)</t>
  </si>
  <si>
    <t>№40-330/96 від 18.02.1993 
(Юхновський І. Р.)</t>
  </si>
  <si>
    <t>технологічне обладнання</t>
  </si>
  <si>
    <t>постанова КМУ від 31.01.1997 №102</t>
  </si>
  <si>
    <t>№40-403/96 від 07.02.1997 
(Шпек Р. В.)</t>
  </si>
  <si>
    <t>сільгосппродукція</t>
  </si>
  <si>
    <t>розпорядження КМУ від 21.08.1997 №464-Р
постанова КМУ від 18.02.1998 №195</t>
  </si>
  <si>
    <t>протокол ВКР  від 12.02.1993 №5(18)</t>
  </si>
  <si>
    <t>постанова КМУ від 26.01.1998</t>
  </si>
  <si>
    <t>дизельні двигуни, моторні мастила,запчастини</t>
  </si>
  <si>
    <t>Гарантія від 30.06.2009 №28010-02/77
Договір від 30.06.2009 №28010-02/78</t>
  </si>
  <si>
    <t xml:space="preserve">Договір від 25.07.1997 
(Щербак Ю. М.)
</t>
  </si>
  <si>
    <t>постанова КМУ від 15.03.2006 №316</t>
  </si>
  <si>
    <t>постанова КМУ від 04.02.1998 №115</t>
  </si>
  <si>
    <t>№52-407/9 від 11.02.1998 
(Шпек Р. В.)</t>
  </si>
  <si>
    <t>постанова  КМУ від 28.10.1997 №1169</t>
  </si>
  <si>
    <t>№40-2694/96 від 13.10.1997 
(Шпек Р. В.)</t>
  </si>
  <si>
    <t>Договір від 25.07.1997 
(Щербак Ю. М.)
Угода від 13.10.2003 №13000-04/87</t>
  </si>
  <si>
    <t>Акт №071-211 "Зарахування заборг-ті ДП "ВО Південмаш"</t>
  </si>
  <si>
    <t>рохпорядження КМУ від 12.01.1996 №28-р</t>
  </si>
  <si>
    <t>№40-105/96 від 12.01.1996 
(Шпек Р. В.)</t>
  </si>
  <si>
    <t>Закон України від 03.07.1996 №265/96-ВР</t>
  </si>
  <si>
    <t>Угода про позику №38910-UA від 28.09.1995</t>
  </si>
  <si>
    <t>будівництво заводу по переробці насіння</t>
  </si>
  <si>
    <t>постанова КМУ від 07.02.1996 №166</t>
  </si>
  <si>
    <t>№40-761/96 від 22.03.1996 
(Шпек Р. В.)</t>
  </si>
  <si>
    <t>протокол ВКР від 06.12.1994 №6(46)</t>
  </si>
  <si>
    <t>устаткування для виробництва вакцин</t>
  </si>
  <si>
    <t xml:space="preserve"> № 40-746/55 від 29.05.92 (Слєпічев О.І.)
№ 40-476/51 від 29.05.92 (Слєпічев О.І.) </t>
  </si>
  <si>
    <t>нафтопродукти</t>
  </si>
  <si>
    <t>розпорядження КМУ від 11.01.1996 №21-р</t>
  </si>
  <si>
    <t>№40-111/96 від 12.01.1996 (Шпек Р. В.)</t>
  </si>
  <si>
    <t>протокол  ВКР від 16.09.1993 №5(31)</t>
  </si>
  <si>
    <t>модульні установки для виробництва інфузійних розчинів і контейнерів з ПВХ, медпрепарати</t>
  </si>
  <si>
    <t>протокол ВКР від 22-23.09.1992 №7</t>
  </si>
  <si>
    <t>№40-689/96 від 31.03.93 (Кучма Л.Д.)
 №40-703/96 від 31.03.93 (Кучма Л.Д.)
 №40-699/96 від 31.03.93 (Кучма Л.Д.) 
№40-701/96 від 31.03.93 (Кучма Л.Д.)</t>
  </si>
  <si>
    <t>сільгоспродукція</t>
  </si>
  <si>
    <t>повноваження кму від 27.08.1995 №22-2304/6</t>
  </si>
  <si>
    <t>угода від 22.11.1994 
(Щербак Ю. М.)</t>
  </si>
  <si>
    <t>розпорядження КМУ від 11.01.1996 №21-р
розпорядження КМУ від 27.06.1996 №411-р</t>
  </si>
  <si>
    <t>№40-116/96 від 09.02.1996 
№40-297/96 від 29.01.1997
(Шпек Р. В.)</t>
  </si>
  <si>
    <t>№ 40-338/8 від 18.02.93 
(Юхновський І.Р.)</t>
  </si>
  <si>
    <t>розпорядження КМУ від 26.06.96 № 410-р</t>
  </si>
  <si>
    <t>№ 40-1660/96 від 01.07.96   (Шпек Р.В.)</t>
  </si>
  <si>
    <t>постанова КМУ від 15.07.97 № 753</t>
  </si>
  <si>
    <t>векселі</t>
  </si>
  <si>
    <t>Додаткова Угода №28000-04/147-1 від 16.03.2007 до Угоди про реструктурування №130-04/147</t>
  </si>
  <si>
    <t>протокол ВКР від 7-9.07.92 № 2, від 22-23.09.92 № 7</t>
  </si>
  <si>
    <t>постанова КМУ від 24.12.97 № 1464</t>
  </si>
  <si>
    <t xml:space="preserve"> № 40-610/9 від 03.03.98 
(Шпек Р.В.)</t>
  </si>
  <si>
    <t>№ 27-302/1-841 від 16.03.98
 (Мітюков І.О.)</t>
  </si>
  <si>
    <t>протокол ВКР від 7-9.07.92 № 2, 
від 22-23.09.92 № 7</t>
  </si>
  <si>
    <t>протокол ВКР від 26.04.94 № 13</t>
  </si>
  <si>
    <t xml:space="preserve">№ 40-797/96 від 04.05.94 
(Ландик В.І.)
  № 40-1842/96 від 31.10.94  
(Мітюков І.О.)
 № 40-887/96 від 24.03.95
(Саблук П.)                               </t>
  </si>
  <si>
    <t>устаткування для переробки цукрового буряку</t>
  </si>
  <si>
    <t>договір від 10.09.1998 №22-04/8
(Мітюков І. О.)</t>
  </si>
  <si>
    <t>договір від 01.11.1997 №1, №2
(Мітюков І. О.)</t>
  </si>
  <si>
    <t>постанова КМУ від 31.01.97 № 101</t>
  </si>
  <si>
    <t>№ 40-408/96 від 07.02.96   (Шпек Р.В.)</t>
  </si>
  <si>
    <t>Постанова КМУ від 31.12.97 №1496</t>
  </si>
  <si>
    <t>медичне обладнання</t>
  </si>
  <si>
    <t xml:space="preserve">Угода про реструктурування від 18.05.1999р. </t>
  </si>
  <si>
    <t>Договір поруки від 19.05.1999р.</t>
  </si>
  <si>
    <t>дитяче харчування</t>
  </si>
  <si>
    <t>Договір від 26.01.2015 №13010-05/5</t>
  </si>
  <si>
    <t>устаткування для домобудівельного комбінату</t>
  </si>
  <si>
    <t>протокол ВКР від 14.12.93 № 8 (34)</t>
  </si>
  <si>
    <t xml:space="preserve">Украгробіржа 
 (ТОВ "Арсенал-Агро") </t>
  </si>
  <si>
    <t>  Угода про реструктурування  від 31.12.2003 №130-04/178</t>
  </si>
  <si>
    <t>  Угода про реструктурування  від 31.12.2003 №130-04/184</t>
  </si>
  <si>
    <t>  Угода про реструктурування  від 31.12.2003 №130-04/186</t>
  </si>
  <si>
    <t>  Угода про реструктурування  від 31.12.2003 №130-04/188</t>
  </si>
  <si>
    <t>  Угода про реструктурування  від 31.12.2003 №130-04/190</t>
  </si>
  <si>
    <t>  Угода про реструктурування  від 31.12.2003 №130-04/191</t>
  </si>
  <si>
    <t>  Угода про реструктурування  від 31.12.2003 №130-04/149</t>
  </si>
  <si>
    <t>  Угода про реструктурування  від 31.12.2003 №130-04/164</t>
  </si>
  <si>
    <t>  Угода про реструктурування  від 31.12.2003 №130-04/177</t>
  </si>
  <si>
    <t>  Угода про реструктурування  від 31.12.2003 №130-04/167</t>
  </si>
  <si>
    <t>  Угода про реструктурування  від 31.12.2003 №130-04/173</t>
  </si>
  <si>
    <t>  Угода про реструктурування  від 31.12.2003 №130-04/170</t>
  </si>
  <si>
    <t>  Угода про реструктурування  від 31.12.2003 №130-04/160</t>
  </si>
  <si>
    <t>  Угода про реструктурування  від 31.12.2003 №130-04/174</t>
  </si>
  <si>
    <t>  Угода про реструктурування  від 31.12.2003 №130-04/165</t>
  </si>
  <si>
    <t xml:space="preserve">Украгробіржа 
(ВАТ "Іванівське РТП") </t>
  </si>
  <si>
    <t>  Угода про реструктурування  від 31.12.2003 №130-04/175</t>
  </si>
  <si>
    <t>  Угода про реструктурування  від 31.12.2003 №130-04/169</t>
  </si>
  <si>
    <t>Украгробіржа
(ТОВ "Жовтнева МТС" )</t>
  </si>
  <si>
    <t> Угода про реструктурування  від 31.12.2003 №130-04/168</t>
  </si>
  <si>
    <t> Угода про реструктурування  від 31.12.2003 №130-04/163</t>
  </si>
  <si>
    <t>Украгробіржа
(ТОВ "Надіяагроком" )</t>
  </si>
  <si>
    <t xml:space="preserve">Украгробіржа 
(СГ "Славутич") </t>
  </si>
  <si>
    <t xml:space="preserve">Украгробіржа 
(ТОВ "Царекостянтинівське МТС") </t>
  </si>
  <si>
    <t xml:space="preserve">Украгробіржа 
(ТОВ "Верховина") </t>
  </si>
  <si>
    <t xml:space="preserve">Украгробіржа 
(ПП "Югторг-М") </t>
  </si>
  <si>
    <t xml:space="preserve">Украгробіржа 
(ТОВ "АФ "Мир-Сем і К") </t>
  </si>
  <si>
    <t>  Угода про реструктурування  від 31.12.2003 №130-04/176</t>
  </si>
  <si>
    <t>  Угода про реструктурування  від 31.12.2003 №130-04/155</t>
  </si>
  <si>
    <t>  Угода про реструктурування  від 31.12.2003 №130-04/146</t>
  </si>
  <si>
    <t>№40-338/8 від 18.02.1993 
(Юхновський І. Р.)</t>
  </si>
  <si>
    <t>Київська міська рада</t>
  </si>
  <si>
    <t>Договір від 11.03.2016 №13010-05/38</t>
  </si>
  <si>
    <t>Закон  України від 03.07.1996 №265/96-ВР</t>
  </si>
  <si>
    <t>Угода про позику №38910-UA 
від 28.09.95</t>
  </si>
  <si>
    <t>Угода про позику (Проект "Розвиток міської інфраструктури") між Україною та МБРР від 26.05.2008 №4869-UA</t>
  </si>
  <si>
    <t>Договір про Субкредитування  між МФУ, Міністерством з питань ЖКГ України та КП "Городок" від 29.12.2009 №28010-02/145</t>
  </si>
  <si>
    <t>Реалізація інвестиційного проекту «Реконструкція енергоємного обладнання системи водопостачання і водовідведення м.Балта»</t>
  </si>
  <si>
    <t>Угода від 29.12.2009 №28010-02/146</t>
  </si>
  <si>
    <t>Угода від 29.12.2009 № 28010-02/148</t>
  </si>
  <si>
    <t xml:space="preserve">КП "Словміськводоканал" </t>
  </si>
  <si>
    <t>Угода від 27.01.2010 № 28010-02/11</t>
  </si>
  <si>
    <t xml:space="preserve">КП "Кременчукводоканал" </t>
  </si>
  <si>
    <t>Угода від 18.08.2008 № 28020-02/115</t>
  </si>
  <si>
    <t>Угода від 13.08.2010 № 28010-02/97</t>
  </si>
  <si>
    <t xml:space="preserve">КП "Водотеплосервіс"(м.Калуш)                                          </t>
  </si>
  <si>
    <t xml:space="preserve">  Угода від16.10.2009  №28010-02/110  </t>
  </si>
  <si>
    <t>Угода від 13.01.2010 №28010-02/20</t>
  </si>
  <si>
    <t>КП "Івано-Франківськводоекотехпром"</t>
  </si>
  <si>
    <t>Угода від 14.09.2010 №28010-02/108</t>
  </si>
  <si>
    <t>Угода від 10.12.2007 №28010-04/207</t>
  </si>
  <si>
    <t>КП "Коломияводоканал"</t>
  </si>
  <si>
    <t>Угода від 16.10.2009 №28010-02/111</t>
  </si>
  <si>
    <t>Угода від 12.02.2010 №28010-02/21</t>
  </si>
  <si>
    <t>Угода від 29.12.2009 №28010-02/147</t>
  </si>
  <si>
    <t>КП "Черкасиводоканал"</t>
  </si>
  <si>
    <t>КП "Харківводоканал"</t>
  </si>
  <si>
    <t>Угода від 29.12.2009 №28010-02/144</t>
  </si>
  <si>
    <t xml:space="preserve">ЛМКП "Львівводоканал" </t>
  </si>
  <si>
    <t>Договір про надання позики між Україною та МБРР</t>
  </si>
  <si>
    <t>Угода про позику №46100-UA (проект водопостачання та каналізація м.Львова)</t>
  </si>
  <si>
    <t>водопостачання та каналізація</t>
  </si>
  <si>
    <t>Угода від 12.01.201 №28010-02/22</t>
  </si>
  <si>
    <t>Угода від 10.12.2007 №2800-00/206</t>
  </si>
  <si>
    <t>Угода від 28.10.2009 №28010-02/116</t>
  </si>
  <si>
    <t>КП "Чернігівводоканал"</t>
  </si>
  <si>
    <t>Угода від 10.12.2007 №28000-04/205</t>
  </si>
  <si>
    <t>Угода від 28.10.2009 №28010-02/117</t>
  </si>
  <si>
    <t xml:space="preserve">ДП НАЕК "Енергоатом" </t>
  </si>
  <si>
    <t xml:space="preserve">Угода від 22.10.2004  № 13000-04/150 </t>
  </si>
  <si>
    <t>Угода від 20.10.2008 №24668</t>
  </si>
  <si>
    <t>ЄІБ</t>
  </si>
  <si>
    <t>Угода від 18.11.2010 №28010-02/169
Позика від 19.10.20110 №40147</t>
  </si>
  <si>
    <t>ЄБРР №37598 
Угода від 07.12.2007 №28000-04/202</t>
  </si>
  <si>
    <t>Угода від 23.08.2007 №28000-04/123</t>
  </si>
  <si>
    <t>Угода від 21.09.2012 №31177</t>
  </si>
  <si>
    <t>Договір № 28010-02/9 від 20.01.2011,  угода ЄБРР від 26.11.2010 № 40185</t>
  </si>
  <si>
    <t xml:space="preserve"> Державне агентство автомобільних доріг України (Укравтодор)</t>
  </si>
  <si>
    <t>Угода від 21.10.2005 № 28000-04/77-1
Кредитна угода від 21.10.2005 №33832</t>
  </si>
  <si>
    <t>Позика № 36547 від 19.12.2006</t>
  </si>
  <si>
    <t>Кредитна угода від 28.02.2005 №31928</t>
  </si>
  <si>
    <t>Угода від 21.04.2009 №28010-02/40</t>
  </si>
  <si>
    <t>Угода про позику (Проект "Розширення доступу до ринків фінансових послуг") між Україною та МБРР від 26.06.2006 № 4827-UA</t>
  </si>
  <si>
    <t>Кредитний договір мід Міністерством фінансів України та ВАТ КБ "Надра" (зараз - ПАТ "Комерційний банк "Надра") від 22.07.2007 № 28000-04/99</t>
  </si>
  <si>
    <t>Угода від 09.12.1998 
№22-04/27</t>
  </si>
  <si>
    <t>Рефінансування довгострокових кредитів підприємців, що працюють у сільській місцевості</t>
  </si>
  <si>
    <t>Угода від 22.06.2007 №28000-04/98</t>
  </si>
  <si>
    <t>ПАТ КБ "Надра"</t>
  </si>
  <si>
    <t>Угода про позику №38910-UA від 28.09.95</t>
  </si>
  <si>
    <t>Закон України від 11.07.1996 № 310/96-ВР</t>
  </si>
  <si>
    <t>Угода про позику №40160-UA від 11.07.1996</t>
  </si>
  <si>
    <t>надання мікрокредитів</t>
  </si>
  <si>
    <t>Угода від 07.11.2005 №28000-04/80(4795)</t>
  </si>
  <si>
    <t>КП "Міськийводоканал"
 м. Нова Каховка</t>
  </si>
  <si>
    <t>Угода від 12.02.2010 №28010-02/19</t>
  </si>
  <si>
    <t>фінансова угода від 26.07.1993 
(Єременко І. О.)</t>
  </si>
  <si>
    <r>
      <t xml:space="preserve">ВАТ "Укрімпекс"  
</t>
    </r>
    <r>
      <rPr>
        <i/>
        <sz val="11"/>
        <rFont val="Times New Roman"/>
        <family val="1"/>
      </rPr>
      <t>(солідарна відповідальність з ООО "Геснерія-Центр", 
ТОВ "Геснерія ЛТД",
АТЗТ "Асоціація дитячого харчування", ВАТ "Херсонський консервний завод дитячого харчування ім. 8 березня" )</t>
    </r>
  </si>
  <si>
    <t xml:space="preserve">Украгробіржа 
(ТОВ "Агрохімсервіс") </t>
  </si>
  <si>
    <t xml:space="preserve">Украгробіржа 
(ЗАТ "Таврія-Агро") </t>
  </si>
  <si>
    <t xml:space="preserve">Украгробіржа 
(ТОВ "Ельвіра-2000") </t>
  </si>
  <si>
    <t xml:space="preserve">Украгробіржа 
(ТОВ "Чаплинське") </t>
  </si>
  <si>
    <t xml:space="preserve">Украгробіржа 
(ТОВ "Агростар") </t>
  </si>
  <si>
    <t xml:space="preserve">Украгробіржа 
(СПП Агрофірма "Людмила") </t>
  </si>
  <si>
    <t xml:space="preserve">Украгробіржа 
(ТОВ "Укрнафтінвест") </t>
  </si>
  <si>
    <t xml:space="preserve">Украгробіржа 
(АТЗТ "Енергоресурс") </t>
  </si>
  <si>
    <t xml:space="preserve">Украгробіржа 
(ВАТ "Шампань України") </t>
  </si>
  <si>
    <t xml:space="preserve">Украгробіржа 
(ВАТ ЧРО "Агропроммеханізація") </t>
  </si>
  <si>
    <t xml:space="preserve">Украгробіржа 
(СП ТОВ "Вольвіна") </t>
  </si>
  <si>
    <t xml:space="preserve">Украгробіржа 
(ВАТ Камянське п-во "Агрохім") </t>
  </si>
  <si>
    <r>
      <t xml:space="preserve"> ВАТ "Прикарпатський меблевий комбінат"
</t>
    </r>
    <r>
      <rPr>
        <i/>
        <sz val="11"/>
        <rFont val="Times New Roman"/>
        <family val="1"/>
      </rPr>
      <t xml:space="preserve"> (солідарна відповідальність з 
ЛПО "Прикарпатліс", 
ХК "Прикарпатліс", 
ВАТ "Івано-Франківська меблева фабрика")</t>
    </r>
  </si>
  <si>
    <r>
      <t xml:space="preserve">АТЗТ "Асоціація дитячого харчування" 
</t>
    </r>
    <r>
      <rPr>
        <i/>
        <sz val="11"/>
        <rFont val="Times New Roman"/>
        <family val="1"/>
      </rPr>
      <t>(солідарна відповідальність 
з ВАТ "Укрімпекс" )</t>
    </r>
  </si>
  <si>
    <r>
      <t>ВАТ "Луганський облагротехсервіс"</t>
    </r>
    <r>
      <rPr>
        <i/>
        <sz val="11"/>
        <rFont val="Times New Roman"/>
        <family val="1"/>
      </rPr>
      <t xml:space="preserve"> (солідарна відповідальність з Луганською обласною державною адміністрацією)</t>
    </r>
  </si>
  <si>
    <r>
      <t>КП "Городок"</t>
    </r>
    <r>
      <rPr>
        <b/>
        <i/>
        <sz val="11"/>
        <rFont val="Times New Roman"/>
        <family val="1"/>
      </rPr>
      <t xml:space="preserve">  
</t>
    </r>
  </si>
  <si>
    <t>Позичальник</t>
  </si>
  <si>
    <t>Відшкодовано витрат
 державного бюджету
млн. грн.</t>
  </si>
  <si>
    <t xml:space="preserve">№ 40-2157/96 від 07.12.96   (Мітюков І.О.)
№ 40-2462/96 від 12.09.95
 № 40-2460/96 від 12.09.95 
  (Шпек Р.В.)     </t>
  </si>
  <si>
    <t>промислове 
обладнання</t>
  </si>
  <si>
    <t>№ 40-1858/96 від 30.08.93 
(Ландик В.І.)</t>
  </si>
  <si>
    <r>
      <t xml:space="preserve">ХК "Прикарпатліс" 
</t>
    </r>
    <r>
      <rPr>
        <i/>
        <sz val="11"/>
        <rFont val="Times New Roman"/>
        <family val="1"/>
      </rPr>
      <t>(солідарна відповідальність з ЛПО "Прикарпатліс", ВАТ "Прикарпатський меблевий комбінат" та  ВАТ "Івано-Франківська меблева фабрика" )</t>
    </r>
  </si>
  <si>
    <t>№101-04/53 від 07.12.2000,
 угода №896 від 11.12.2000</t>
  </si>
  <si>
    <t>№28000-04/217 від 18.12.2007,
фін.угода від 30.07.2007  №24062 ЄІБ</t>
  </si>
  <si>
    <t>№15010-02/121 від 06.07.2011,
 фін.угода від 27.05.2011 № 26131 ЄІБ</t>
  </si>
  <si>
    <r>
      <t xml:space="preserve">АТ "Агросоюз" 
</t>
    </r>
    <r>
      <rPr>
        <i/>
        <sz val="11"/>
        <rFont val="Times New Roman"/>
        <family val="1"/>
      </rPr>
      <t>(солідарна відповідальність з Київською обласною державною адміністрацією)</t>
    </r>
  </si>
  <si>
    <t xml:space="preserve">постанова КМУ 
від 15.03.06 №315 </t>
  </si>
  <si>
    <r>
      <t xml:space="preserve">ВАТ "Івано-Франківська меблева фабрика"   
</t>
    </r>
    <r>
      <rPr>
        <i/>
        <sz val="11"/>
        <rFont val="Times New Roman"/>
        <family val="1"/>
      </rPr>
      <t>(солідарна відповідальність з ЛПО "Прикарпатліс", 
ХК "Прикарпатліс", 
ВАТ "Прикарпатський меблевий комбінат")</t>
    </r>
  </si>
  <si>
    <t xml:space="preserve">
№40-1858/96 від 30.08.1993 (Ландик В. І.)
</t>
  </si>
  <si>
    <t>Заборгованість позичальників, по яким існує державна реєстрація припинення юридичної особи</t>
  </si>
  <si>
    <t>Всього</t>
  </si>
  <si>
    <t>РАЗОМ</t>
  </si>
  <si>
    <t>№22-1175/5,№22-1178/5, №22-1166/5, №22-1165/5, №22-1164/5, №22-1160/5,№22-1159/5, № 22-1161/5, №22-1162/5, №22-1163/5, №22-1166/5 , від 25.05.92
 (Ситнік В.П.);  № 22-11/5 від 07.10.92, (Слєпічев)</t>
  </si>
  <si>
    <t xml:space="preserve">№ 22-1176/5 від 25.05.92, № 22-1179/5 від 25.05.92, № 22-1177/5 від 25.05.92
 (Ситнік В.П.)                                     </t>
  </si>
  <si>
    <t xml:space="preserve">постанова КМУ від 15.03.06 №315 </t>
  </si>
  <si>
    <t xml:space="preserve">Міністерством фінансів України </t>
  </si>
  <si>
    <t>КП "Агентство програм розвитку Одеси"</t>
  </si>
  <si>
    <t>Державна служба лікарських засобів і виробів медичного призначення 
(ІКУ №6216;6389;6390)</t>
  </si>
  <si>
    <t xml:space="preserve">Житомирська обласна державна адміністрація </t>
  </si>
  <si>
    <t>Угода від 11.12.2009 №28010-02/134 (7791)</t>
  </si>
  <si>
    <t>МКП "Миколаївводоканал"</t>
  </si>
  <si>
    <t>Договір від 02.10.2010 №28010-02/125</t>
  </si>
  <si>
    <t>Угода від 29.09.2011 №40518</t>
  </si>
  <si>
    <t>Договір про реструктуризацію 
від 16.03.2017 №13010-05/32</t>
  </si>
  <si>
    <t>Закон України від 
20.10.2016 №1701-VIII</t>
  </si>
  <si>
    <t>Договір про надання позики (Проект розвитку ринку електроенергії ) між Україною та МБРР</t>
  </si>
  <si>
    <t>Угода про позику №40980-UA від 01.11.1996</t>
  </si>
  <si>
    <t>ПАТ "ДТЕК Дніпроенерго"</t>
  </si>
  <si>
    <t>ВАТ "Макіївський металургійний комбінат"</t>
  </si>
  <si>
    <t>№40-1085/5 від 18.05.1992 (Слєпічев)</t>
  </si>
  <si>
    <t>виробниче обладнання</t>
  </si>
  <si>
    <t xml:space="preserve"> </t>
  </si>
  <si>
    <t>технічне переоснащення</t>
  </si>
  <si>
    <t>Угода від 11.10.2012 №15010-03/98</t>
  </si>
  <si>
    <t xml:space="preserve">ДАК "Хліб України" </t>
  </si>
  <si>
    <t>розпорядження КМУ від 23.08.1996 №534-р, від 02.09.1996 №548-р</t>
  </si>
  <si>
    <t>Міжурядові угоди від 21.07.1993 (Персіянов О. Б), від 04.03.1994 (Карасик Ю. М.), від 29.12.1995 (Щербак Ю. М.)</t>
  </si>
  <si>
    <t>ДП "Агентство з реструктуризації заборгованості підприємств агропромислового комплексу"</t>
  </si>
  <si>
    <t>Акт передачі-приймання кредиторської забооргованості від 31.07.2003</t>
  </si>
  <si>
    <t>ДП "Укркосмос"</t>
  </si>
  <si>
    <t>  Договір   №28010-02/137 від 15.12.2009</t>
  </si>
  <si>
    <t>КП "Дніпропетровський метрополітен"</t>
  </si>
  <si>
    <t>Угода від 21.12.2012 №15010-03/138</t>
  </si>
  <si>
    <t xml:space="preserve">Гарантійне зобов'язання від 11.03.1996 №2-13-89
Постанова Господарського суду м. Києва  від 06.12.2007 справа №32/120-А  - позовні вимоги визнані необгрунтованими та задоволенню не підлягають </t>
  </si>
  <si>
    <r>
      <t xml:space="preserve">Київська обласна державна адміністрація*
</t>
    </r>
    <r>
      <rPr>
        <i/>
        <sz val="11"/>
        <rFont val="Times New Roman"/>
        <family val="1"/>
      </rPr>
      <t>(солідарна з АТ "Агросоюз")</t>
    </r>
  </si>
  <si>
    <t>КП "Вінницяоблводоканал"</t>
  </si>
  <si>
    <t>Угода від 28.02.2017 №13010-05/25</t>
  </si>
  <si>
    <t>Угода від 28.02.2017 №13010-05/26</t>
  </si>
  <si>
    <t>Угода від 28.11.2014 №13010-05/121</t>
  </si>
  <si>
    <t>КП "Тернопільміськтеплокомуненерго"</t>
  </si>
  <si>
    <t>Угода від 18.08.2016 №13010-05/79</t>
  </si>
  <si>
    <t>ОКП "Миколаївоблтеплоенерго"</t>
  </si>
  <si>
    <t>Угода від 20.11.2014 №13010-05/107</t>
  </si>
  <si>
    <t>Угода від 20.11.2014 №13010-05/108</t>
  </si>
  <si>
    <t>КП "Харківські теплові мережі"</t>
  </si>
  <si>
    <t>Угода від 20.11.2014 №13010-05/103</t>
  </si>
  <si>
    <t>МКП "Херсонтеплоенерго"</t>
  </si>
  <si>
    <t>Угода від 20.11.2014 №13010-05/105</t>
  </si>
  <si>
    <t>Угода від 20.11.2014 №13010-05/106</t>
  </si>
  <si>
    <t>КП "Міськтепловодоенергія"</t>
  </si>
  <si>
    <t>Угода від 20.11.2014 №13010-05/102</t>
  </si>
  <si>
    <t>Угода від 20.11.2014 №13010-05/93</t>
  </si>
  <si>
    <t>Угода від 20.11.2014 №13010-05/94</t>
  </si>
  <si>
    <t>Угода від 20.11.2014 №13010-05/89</t>
  </si>
  <si>
    <t>Угода від 20.11.2014 №13010-05/90</t>
  </si>
  <si>
    <t>Угода від 20.11.2014 №13010-05/97</t>
  </si>
  <si>
    <t>Угода від 20.11.2014 №13010-05/98</t>
  </si>
  <si>
    <t>КП "Житомирводоканал"</t>
  </si>
  <si>
    <t>Угода від 20.11.2014 №13010-05/91</t>
  </si>
  <si>
    <t>Угода від 20.11.2014 №13010-05/92</t>
  </si>
  <si>
    <t>КП "Тернопільводоканал"</t>
  </si>
  <si>
    <t>Угода від 20.11.2014 №13010-05/95</t>
  </si>
  <si>
    <t>Угода від 20.11.2014 №13010-05/96</t>
  </si>
  <si>
    <t>Угода від 04.12.2014 №13010-05/128</t>
  </si>
  <si>
    <t>Угода від 04.12.2014 №13010-05/129</t>
  </si>
  <si>
    <t>КП "Краматорський водоканал"</t>
  </si>
  <si>
    <t>Угода від 04.12.2014 №13010-05/127</t>
  </si>
  <si>
    <t>Угода від 17.06.2015 №13010-05/63</t>
  </si>
  <si>
    <t>Угода від 03.05.2017 №13010-05/68</t>
  </si>
  <si>
    <t>Угода від 28.02.2017 №13010-05/24</t>
  </si>
  <si>
    <t>Угода від 20.11.2014 №13010-05/99</t>
  </si>
  <si>
    <t xml:space="preserve">Договір від 29.05.2015 №13010-05/59, Кредитна угода від 15.12.2014 №42608 </t>
  </si>
  <si>
    <t xml:space="preserve"> Угода від 16.09.2011 №31143
 Договір від 02.07.2012 №15010-03/75</t>
  </si>
  <si>
    <t>-</t>
  </si>
  <si>
    <t>№ 40-1919/9 від 23.07.97 (Шпек Р.В.)</t>
  </si>
  <si>
    <t>Договір від 23.07.97 (Мітюков І.О.)</t>
  </si>
  <si>
    <t>Субкредитна угода від 27.06.2014 №13010-05/57</t>
  </si>
  <si>
    <t>угоди про уступку права вимоги 28.11.03 №130-04/108, 28.11.03 №130-04/109, 
від 03.12.003 №130-04/111)</t>
  </si>
  <si>
    <t>Угода від 10.02.2015 №8462
Договір від 25.05.2015 №13010-05/53</t>
  </si>
  <si>
    <t>Угода від 27.09.2019 №13010-05/153</t>
  </si>
  <si>
    <t>ПрАТ "Завод "Кузня на Рибальському"</t>
  </si>
  <si>
    <t>Договір від  29.12.2017 №13010-05/227</t>
  </si>
  <si>
    <t>ПАТ "Донбасенерго"</t>
  </si>
  <si>
    <t>МБРР  Угода від 01.11.1996 №4098</t>
  </si>
  <si>
    <t>ПАТ "Центренерго"</t>
  </si>
  <si>
    <t>ЄБРР Кредитна угода від 11.12.1996 №497</t>
  </si>
  <si>
    <t xml:space="preserve">Гарантійне зобов'язання від 05.03.1996 №1-3/249
Постанова Вищого Господарського суду України  від 29.03.2010 справа №13/408-05  - позовні вимоги визнані необгрунтованими та задоволенню не підлягають  </t>
  </si>
  <si>
    <t>КП ВМР "Вінницяміськтеплоенерго"</t>
  </si>
  <si>
    <t>Підприємство "Нововолинськводоканал" ЖКО НМР</t>
  </si>
  <si>
    <t>ВАТ АБ "Донвуглекомбанк"</t>
  </si>
  <si>
    <t>КП "Новоград-Волинське ВУВКГ"</t>
  </si>
  <si>
    <t>КП ВКГ "Бориспільводоканал"</t>
  </si>
  <si>
    <t>ОКВП "Дніпро-Кіровоград"</t>
  </si>
  <si>
    <t xml:space="preserve">Виконавчий комітет Первомайської міської ради </t>
  </si>
  <si>
    <t>КП "Дніпротеплоенерго" 
Дніпропетровської міської ради</t>
  </si>
  <si>
    <t>КП "Дрогобичводоканал" 
Дрогобицької міської ради</t>
  </si>
  <si>
    <t>ЗАТ "Одеська кукурудза"</t>
  </si>
  <si>
    <t>ДП "НВД АФ "НауковА" НААН"</t>
  </si>
  <si>
    <r>
      <t xml:space="preserve">ТОВ ФІРМА "Геснерія-Центр"
</t>
    </r>
    <r>
      <rPr>
        <i/>
        <sz val="11"/>
        <rFont val="Times New Roman"/>
        <family val="1"/>
      </rPr>
      <t>(солідарна відповідальність з ВАТ  Укрімпекс")</t>
    </r>
  </si>
  <si>
    <r>
      <t xml:space="preserve">ТОВ НВК ФІРМА "Геснерія ЛТД" 
</t>
    </r>
    <r>
      <rPr>
        <i/>
        <sz val="11"/>
        <rFont val="Times New Roman"/>
        <family val="1"/>
      </rPr>
      <t>(солідарна відповідальність з ВАТ "Укрімпекс" )</t>
    </r>
  </si>
  <si>
    <t>СУАП ТОВ "Корпорація "Агродон"</t>
  </si>
  <si>
    <t>КП Фірма “Атон”, Транснаціональна корпорація "Атон"</t>
  </si>
  <si>
    <t>ВАТ "Сілур"</t>
  </si>
  <si>
    <r>
      <t xml:space="preserve">ВАТ Фірма "Агромашсервіскомплект" </t>
    </r>
    <r>
      <rPr>
        <i/>
        <sz val="11"/>
        <rFont val="Times New Roman"/>
        <family val="1"/>
      </rPr>
      <t>(солідарна відповідальність з Житомирською обласною державною адміністрацією)</t>
    </r>
  </si>
  <si>
    <t>АТ "ЗАлК"</t>
  </si>
  <si>
    <r>
      <t xml:space="preserve">ДП ЛПП "Прикарпатліс",  </t>
    </r>
    <r>
      <rPr>
        <i/>
        <sz val="11"/>
        <rFont val="Times New Roman"/>
        <family val="1"/>
      </rPr>
      <t>(солідарна відповідальність з ХК "Прикарпатліс", 
ВАТ "Прикарпатський меблевий комбінат" та  ВАТ "Івано-Франківська меблева фабрика")</t>
    </r>
  </si>
  <si>
    <t>АТ "Оріана"</t>
  </si>
  <si>
    <t>ВАТ СГРПТП ТОВ "Агрофірма "Славутич"</t>
  </si>
  <si>
    <t>АТ "Лисичанськвугілля"</t>
  </si>
  <si>
    <t>ЗАТ "Стальметиз"</t>
  </si>
  <si>
    <r>
      <t xml:space="preserve">ПАТ "Сумиоблагротехсервіс", </t>
    </r>
    <r>
      <rPr>
        <b/>
        <i/>
        <sz val="11"/>
        <rFont val="Times New Roman"/>
        <family val="1"/>
      </rPr>
      <t>солідарна відповідальність з 
Сумська облдержадміністрація (гарант),</t>
    </r>
  </si>
  <si>
    <t>АТ "Харківський тракторний завод"</t>
  </si>
  <si>
    <t>КП "Муніципальна компанія поводження з відходами" Харківської міської ради</t>
  </si>
  <si>
    <t>Харківський метрополітен</t>
  </si>
  <si>
    <t xml:space="preserve">ВАТ "Епос - Холдінг" </t>
  </si>
  <si>
    <r>
      <t xml:space="preserve"> ВАТ "Херсонський завод дитячого харчування 
ім. 8 березня" 
</t>
    </r>
    <r>
      <rPr>
        <b/>
        <i/>
        <sz val="11"/>
        <rFont val="Times New Roman"/>
        <family val="1"/>
      </rPr>
      <t>(</t>
    </r>
    <r>
      <rPr>
        <i/>
        <sz val="11"/>
        <rFont val="Times New Roman"/>
        <family val="1"/>
      </rPr>
      <t>солідарна відповідальність 
з ВАТ "Укрімпекс" )</t>
    </r>
  </si>
  <si>
    <t>КП "Служба єдиного замовника" 
Кам'янець-Подільської міськоїради</t>
  </si>
  <si>
    <t xml:space="preserve">Украгробіржа  
(СТОВ "Юрчиха") </t>
  </si>
  <si>
    <t>ПрАТ "Кіцманське РТП" с/г техн. (Південмаш)</t>
  </si>
  <si>
    <t>ПрАТ "Чексіл"</t>
  </si>
  <si>
    <t>АТ "Укрнафтопродукт"</t>
  </si>
  <si>
    <t>Агропромислова Асоціація "Земля і люди"</t>
  </si>
  <si>
    <t>ПрАТ "УкрЕСКО"</t>
  </si>
  <si>
    <t>ПП Фірма "Софія Київська ЛТД"</t>
  </si>
  <si>
    <t>ТОВ СНВПУУ "Ратай"</t>
  </si>
  <si>
    <t xml:space="preserve">ПАО  "Київський завод Реле та автоматика" </t>
  </si>
  <si>
    <t>АТЗТ УЗТФ "Біомед"</t>
  </si>
  <si>
    <t>ПАТ  "Кредитпромбанк"</t>
  </si>
  <si>
    <t>ТОВ "Фірма Маріам - А"</t>
  </si>
  <si>
    <t>ДП ВО "Південний машинобудівний завод" 
ім.О.М. Макарова</t>
  </si>
  <si>
    <t xml:space="preserve">ПрАТ "Укргідроенерго" 
</t>
  </si>
  <si>
    <t>НАК "Нафтогаз" ПАТ "Укртрансгаз "</t>
  </si>
  <si>
    <t xml:space="preserve">ПАТ "НЕК "Укренерго" </t>
  </si>
  <si>
    <t>ПрАТ "АК "Київводоканал"</t>
  </si>
  <si>
    <t>АТ "ДТЕК Західенерго"</t>
  </si>
  <si>
    <t>АТ "ДТЕК Дніпроенерго"</t>
  </si>
  <si>
    <r>
      <t xml:space="preserve">Сумська обласна державна адміністрація
</t>
    </r>
    <r>
      <rPr>
        <i/>
        <sz val="11"/>
        <rFont val="Times New Roman"/>
        <family val="1"/>
      </rPr>
      <t>(солідарна з ПАТ "Сумиоблагротехсервіс")</t>
    </r>
  </si>
  <si>
    <t>Державна іпотечна установа</t>
  </si>
  <si>
    <t>Фінансова угода від 24.12.2017 FI №82.844</t>
  </si>
  <si>
    <t>Угода від 10.10.2016 №27406
Субкредитна угода від 21.03.2017 №13010-05/41</t>
  </si>
  <si>
    <t>Субкредитна угода від 10.07.2012 №15010-03/77</t>
  </si>
  <si>
    <t>Договір №15010-03/127 від 26.12.2013
Договір №13010-05/285 від 28.12.2019
Договір №13010-05/226 від 11.12.2019</t>
  </si>
  <si>
    <t>Договір від 28.12.2012 №15010-03/147</t>
  </si>
  <si>
    <t>ПАТ "Державна продовольчо-зернова корпорація України"</t>
  </si>
  <si>
    <t>Постанов від 13.08.2012 №857</t>
  </si>
  <si>
    <t>Угода про субкредитування між МФУ та Укравтодором від 22.12.2015 №13010-05/155, позика від 19.11.2015 №8549-UA</t>
  </si>
  <si>
    <t xml:space="preserve">КП «МАРІУПОЛЬВОДОКАНАЛ» </t>
  </si>
  <si>
    <t xml:space="preserve">Субкредитний договір від 13.07.2020 №13010-05/144  </t>
  </si>
  <si>
    <t>Закон України від 15.03.2022 №2134-IX</t>
  </si>
  <si>
    <t>Державне підприємство "Міжнародний аеропорт "Бориспіль"</t>
  </si>
  <si>
    <t>          Субкредитна угода для проекту розвитку ДМА "Бориспіль" від 22.09.2005 №13000-04/70</t>
  </si>
  <si>
    <t>АТ КБ “Приватбанк”</t>
  </si>
  <si>
    <t>Угода від 31.12.2020 №13010-05/269</t>
  </si>
  <si>
    <t>АТ "Укрексімбанк"</t>
  </si>
  <si>
    <t>(курс Національного банку України на 31.12.2022)</t>
  </si>
  <si>
    <t xml:space="preserve">ІНФОРМАЦІЙНА ДОВІДКА
 щодо стану простроченої заборгованості позичальників перед державою за позиками, наданими державою або під державні гарантії
станом на 01.01.2023 </t>
  </si>
  <si>
    <t xml:space="preserve">Державною казначейською
службою України
(станом на 01.12.2022) </t>
  </si>
  <si>
    <t>Заборгованість перед державною
млн. дол. США
(на 01.01.2023)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</si>
</sst>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#,##0.0000000000"/>
    <numFmt numFmtId="190" formatCode="#,##0.000"/>
    <numFmt numFmtId="191" formatCode="#,##0.00000"/>
    <numFmt numFmtId="192" formatCode="#,##0.00000000"/>
    <numFmt numFmtId="193" formatCode="#,##0.0000000000000000"/>
    <numFmt numFmtId="194" formatCode="0.000000000"/>
    <numFmt numFmtId="195" formatCode="0.0000000000"/>
    <numFmt numFmtId="196" formatCode="0.00000000"/>
    <numFmt numFmtId="197" formatCode="#,##0.0000"/>
    <numFmt numFmtId="198" formatCode="#,##0.000000000000"/>
    <numFmt numFmtId="199" formatCode="#,##0.000000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1" fontId="7" fillId="0" borderId="11" xfId="59" applyNumberFormat="1" applyFont="1" applyFill="1" applyBorder="1" applyAlignment="1">
      <alignment horizontal="center" vertical="center" wrapText="1"/>
      <protection/>
    </xf>
    <xf numFmtId="191" fontId="2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right" vertical="center"/>
    </xf>
    <xf numFmtId="188" fontId="4" fillId="0" borderId="11" xfId="0" applyNumberFormat="1" applyFont="1" applyFill="1" applyBorder="1" applyAlignment="1">
      <alignment horizontal="right" wrapText="1"/>
    </xf>
    <xf numFmtId="4" fontId="2" fillId="33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4" fillId="0" borderId="1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190" fontId="8" fillId="33" borderId="11" xfId="0" applyNumberFormat="1" applyFont="1" applyFill="1" applyBorder="1" applyAlignment="1">
      <alignment horizontal="right" vertical="center"/>
    </xf>
    <xf numFmtId="190" fontId="5" fillId="34" borderId="11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 applyProtection="1">
      <alignment horizontal="right" vertical="center" wrapText="1"/>
      <protection/>
    </xf>
    <xf numFmtId="190" fontId="5" fillId="34" borderId="11" xfId="0" applyNumberFormat="1" applyFont="1" applyFill="1" applyBorder="1" applyAlignment="1">
      <alignment horizontal="right"/>
    </xf>
    <xf numFmtId="190" fontId="8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190" fontId="8" fillId="0" borderId="16" xfId="0" applyNumberFormat="1" applyFont="1" applyFill="1" applyBorder="1" applyAlignment="1">
      <alignment horizontal="right" vertical="center"/>
    </xf>
    <xf numFmtId="190" fontId="8" fillId="0" borderId="10" xfId="0" applyNumberFormat="1" applyFont="1" applyFill="1" applyBorder="1" applyAlignment="1">
      <alignment horizontal="right" vertical="center"/>
    </xf>
    <xf numFmtId="190" fontId="8" fillId="33" borderId="11" xfId="0" applyNumberFormat="1" applyFont="1" applyFill="1" applyBorder="1" applyAlignment="1">
      <alignment vertical="center"/>
    </xf>
    <xf numFmtId="190" fontId="5" fillId="34" borderId="11" xfId="0" applyNumberFormat="1" applyFont="1" applyFill="1" applyBorder="1" applyAlignment="1">
      <alignment vertical="center"/>
    </xf>
    <xf numFmtId="190" fontId="8" fillId="0" borderId="15" xfId="0" applyNumberFormat="1" applyFont="1" applyFill="1" applyBorder="1" applyAlignment="1">
      <alignment horizontal="right" vertical="center"/>
    </xf>
    <xf numFmtId="190" fontId="8" fillId="0" borderId="11" xfId="0" applyNumberFormat="1" applyFont="1" applyFill="1" applyBorder="1" applyAlignment="1">
      <alignment horizontal="right" vertical="center" wrapText="1"/>
    </xf>
    <xf numFmtId="190" fontId="8" fillId="33" borderId="12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 applyProtection="1">
      <alignment horizontal="right" wrapText="1"/>
      <protection/>
    </xf>
    <xf numFmtId="190" fontId="8" fillId="33" borderId="11" xfId="0" applyNumberFormat="1" applyFont="1" applyFill="1" applyBorder="1" applyAlignment="1">
      <alignment/>
    </xf>
    <xf numFmtId="190" fontId="8" fillId="33" borderId="10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horizontal="right" wrapText="1"/>
    </xf>
    <xf numFmtId="190" fontId="5" fillId="34" borderId="12" xfId="0" applyNumberFormat="1" applyFont="1" applyFill="1" applyBorder="1" applyAlignment="1">
      <alignment horizontal="right" vertical="center"/>
    </xf>
    <xf numFmtId="190" fontId="8" fillId="33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 applyProtection="1">
      <alignment horizontal="right" wrapText="1"/>
      <protection/>
    </xf>
    <xf numFmtId="190" fontId="8" fillId="0" borderId="11" xfId="0" applyNumberFormat="1" applyFont="1" applyFill="1" applyBorder="1" applyAlignment="1">
      <alignment vertical="center"/>
    </xf>
    <xf numFmtId="190" fontId="8" fillId="0" borderId="10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190" fontId="5" fillId="35" borderId="17" xfId="0" applyNumberFormat="1" applyFont="1" applyFill="1" applyBorder="1" applyAlignment="1">
      <alignment horizontal="center"/>
    </xf>
    <xf numFmtId="190" fontId="5" fillId="35" borderId="17" xfId="0" applyNumberFormat="1" applyFont="1" applyFill="1" applyBorder="1" applyAlignment="1">
      <alignment horizontal="right"/>
    </xf>
    <xf numFmtId="190" fontId="5" fillId="35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92" fontId="8" fillId="0" borderId="0" xfId="0" applyNumberFormat="1" applyFont="1" applyFill="1" applyAlignment="1">
      <alignment/>
    </xf>
    <xf numFmtId="190" fontId="5" fillId="34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190" fontId="8" fillId="0" borderId="18" xfId="0" applyNumberFormat="1" applyFont="1" applyFill="1" applyBorder="1" applyAlignment="1">
      <alignment horizontal="right" vertical="center"/>
    </xf>
    <xf numFmtId="190" fontId="8" fillId="0" borderId="11" xfId="0" applyNumberFormat="1" applyFont="1" applyFill="1" applyBorder="1" applyAlignment="1">
      <alignment horizontal="right" vertical="center" shrinkToFit="1"/>
    </xf>
    <xf numFmtId="190" fontId="8" fillId="0" borderId="15" xfId="0" applyNumberFormat="1" applyFont="1" applyFill="1" applyBorder="1" applyAlignment="1">
      <alignment horizontal="right" vertical="center" wrapText="1"/>
    </xf>
    <xf numFmtId="190" fontId="8" fillId="0" borderId="15" xfId="0" applyNumberFormat="1" applyFont="1" applyBorder="1" applyAlignment="1">
      <alignment vertical="center" wrapText="1"/>
    </xf>
    <xf numFmtId="190" fontId="8" fillId="0" borderId="0" xfId="0" applyNumberFormat="1" applyFont="1" applyFill="1" applyBorder="1" applyAlignment="1">
      <alignment vertical="center"/>
    </xf>
    <xf numFmtId="190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>
      <alignment horizontal="right" vertical="center"/>
    </xf>
    <xf numFmtId="4" fontId="5" fillId="35" borderId="17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187" fontId="5" fillId="0" borderId="11" xfId="66" applyFont="1" applyBorder="1" applyAlignment="1">
      <alignment horizontal="left" vertical="center" wrapText="1"/>
    </xf>
    <xf numFmtId="187" fontId="5" fillId="0" borderId="11" xfId="66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87" fontId="5" fillId="36" borderId="11" xfId="66" applyFont="1" applyFill="1" applyBorder="1" applyAlignment="1">
      <alignment vertical="center" wrapText="1"/>
    </xf>
    <xf numFmtId="187" fontId="5" fillId="36" borderId="11" xfId="66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87" fontId="5" fillId="36" borderId="11" xfId="66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188" fontId="8" fillId="0" borderId="11" xfId="0" applyNumberFormat="1" applyFont="1" applyFill="1" applyBorder="1" applyAlignment="1">
      <alignment horizontal="right" wrapText="1"/>
    </xf>
    <xf numFmtId="190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190" fontId="8" fillId="33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190" fontId="8" fillId="0" borderId="15" xfId="0" applyNumberFormat="1" applyFont="1" applyFill="1" applyBorder="1" applyAlignment="1">
      <alignment vertical="center"/>
    </xf>
    <xf numFmtId="188" fontId="8" fillId="0" borderId="11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90" fontId="8" fillId="0" borderId="11" xfId="0" applyNumberFormat="1" applyFont="1" applyFill="1" applyBorder="1" applyAlignment="1">
      <alignment horizontal="right"/>
    </xf>
    <xf numFmtId="190" fontId="8" fillId="0" borderId="12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190" fontId="8" fillId="33" borderId="10" xfId="0" applyNumberFormat="1" applyFont="1" applyFill="1" applyBorder="1" applyAlignment="1">
      <alignment horizontal="right" vertical="center"/>
    </xf>
    <xf numFmtId="190" fontId="5" fillId="34" borderId="10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90" fontId="5" fillId="34" borderId="15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right" vertical="center"/>
    </xf>
    <xf numFmtId="190" fontId="5" fillId="35" borderId="15" xfId="0" applyNumberFormat="1" applyFont="1" applyFill="1" applyBorder="1" applyAlignment="1">
      <alignment horizontal="center"/>
    </xf>
    <xf numFmtId="190" fontId="5" fillId="35" borderId="15" xfId="0" applyNumberFormat="1" applyFont="1" applyFill="1" applyBorder="1" applyAlignment="1">
      <alignment horizontal="right"/>
    </xf>
    <xf numFmtId="190" fontId="5" fillId="35" borderId="15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90" fontId="8" fillId="33" borderId="10" xfId="0" applyNumberFormat="1" applyFont="1" applyFill="1" applyBorder="1" applyAlignment="1">
      <alignment horizontal="right" vertical="center"/>
    </xf>
    <xf numFmtId="190" fontId="5" fillId="34" borderId="10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 wrapText="1"/>
    </xf>
    <xf numFmtId="190" fontId="5" fillId="33" borderId="0" xfId="0" applyNumberFormat="1" applyFont="1" applyFill="1" applyBorder="1" applyAlignment="1">
      <alignment/>
    </xf>
    <xf numFmtId="190" fontId="9" fillId="33" borderId="0" xfId="0" applyNumberFormat="1" applyFont="1" applyFill="1" applyBorder="1" applyAlignment="1">
      <alignment horizontal="center" vertical="center"/>
    </xf>
    <xf numFmtId="190" fontId="5" fillId="34" borderId="11" xfId="0" applyNumberFormat="1" applyFont="1" applyFill="1" applyBorder="1" applyAlignment="1">
      <alignment horizontal="right" wrapText="1"/>
    </xf>
    <xf numFmtId="190" fontId="5" fillId="33" borderId="0" xfId="0" applyNumberFormat="1" applyFont="1" applyFill="1" applyAlignment="1">
      <alignment/>
    </xf>
    <xf numFmtId="190" fontId="10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" fontId="5" fillId="34" borderId="11" xfId="0" applyNumberFormat="1" applyFont="1" applyFill="1" applyBorder="1" applyAlignment="1">
      <alignment horizontal="center"/>
    </xf>
    <xf numFmtId="190" fontId="5" fillId="34" borderId="15" xfId="0" applyNumberFormat="1" applyFont="1" applyFill="1" applyBorder="1" applyAlignment="1">
      <alignment horizontal="right"/>
    </xf>
    <xf numFmtId="196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Alignment="1">
      <alignment/>
    </xf>
    <xf numFmtId="196" fontId="8" fillId="0" borderId="0" xfId="0" applyNumberFormat="1" applyFont="1" applyFill="1" applyBorder="1" applyAlignment="1">
      <alignment horizontal="center"/>
    </xf>
    <xf numFmtId="196" fontId="8" fillId="34" borderId="0" xfId="0" applyNumberFormat="1" applyFont="1" applyFill="1" applyBorder="1" applyAlignment="1">
      <alignment/>
    </xf>
    <xf numFmtId="196" fontId="5" fillId="0" borderId="0" xfId="0" applyNumberFormat="1" applyFont="1" applyFill="1" applyAlignment="1">
      <alignment/>
    </xf>
    <xf numFmtId="196" fontId="8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1" fillId="0" borderId="11" xfId="0" applyFont="1" applyBorder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5" fillId="0" borderId="23" xfId="48" applyFont="1" applyBorder="1" applyAlignment="1" applyProtection="1">
      <alignment horizontal="left" vertical="center" wrapText="1"/>
      <protection hidden="1"/>
    </xf>
    <xf numFmtId="4" fontId="5" fillId="0" borderId="23" xfId="48" applyNumberFormat="1" applyFont="1" applyFill="1" applyBorder="1" applyAlignment="1" applyProtection="1">
      <alignment horizontal="left" vertical="center" wrapText="1"/>
      <protection hidden="1"/>
    </xf>
    <xf numFmtId="190" fontId="5" fillId="34" borderId="10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190" fontId="8" fillId="33" borderId="11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190" fontId="5" fillId="34" borderId="11" xfId="0" applyNumberFormat="1" applyFont="1" applyFill="1" applyBorder="1" applyAlignment="1">
      <alignment horizontal="right" vertical="top"/>
    </xf>
    <xf numFmtId="190" fontId="8" fillId="33" borderId="11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88" fontId="2" fillId="0" borderId="11" xfId="0" applyNumberFormat="1" applyFont="1" applyFill="1" applyBorder="1" applyAlignment="1">
      <alignment horizontal="center" wrapText="1"/>
    </xf>
    <xf numFmtId="190" fontId="8" fillId="0" borderId="10" xfId="0" applyNumberFormat="1" applyFont="1" applyFill="1" applyBorder="1" applyAlignment="1">
      <alignment/>
    </xf>
    <xf numFmtId="190" fontId="8" fillId="33" borderId="1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90" fontId="5" fillId="34" borderId="10" xfId="0" applyNumberFormat="1" applyFont="1" applyFill="1" applyBorder="1" applyAlignment="1">
      <alignment horizontal="right"/>
    </xf>
    <xf numFmtId="190" fontId="8" fillId="0" borderId="10" xfId="0" applyNumberFormat="1" applyFont="1" applyFill="1" applyBorder="1" applyAlignment="1">
      <alignment horizontal="right"/>
    </xf>
    <xf numFmtId="190" fontId="8" fillId="33" borderId="10" xfId="0" applyNumberFormat="1" applyFont="1" applyFill="1" applyBorder="1" applyAlignment="1">
      <alignment horizontal="right"/>
    </xf>
    <xf numFmtId="192" fontId="5" fillId="0" borderId="0" xfId="0" applyNumberFormat="1" applyFont="1" applyFill="1" applyAlignment="1">
      <alignment/>
    </xf>
    <xf numFmtId="190" fontId="8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190" fontId="5" fillId="34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190" fontId="5" fillId="34" borderId="10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 wrapText="1"/>
    </xf>
    <xf numFmtId="190" fontId="5" fillId="34" borderId="15" xfId="0" applyNumberFormat="1" applyFont="1" applyFill="1" applyBorder="1" applyAlignment="1">
      <alignment vertical="center"/>
    </xf>
    <xf numFmtId="190" fontId="5" fillId="34" borderId="10" xfId="0" applyNumberFormat="1" applyFont="1" applyFill="1" applyBorder="1" applyAlignment="1">
      <alignment horizontal="right" vertical="center"/>
    </xf>
    <xf numFmtId="190" fontId="5" fillId="34" borderId="10" xfId="0" applyNumberFormat="1" applyFont="1" applyFill="1" applyBorder="1" applyAlignment="1">
      <alignment vertical="center"/>
    </xf>
    <xf numFmtId="190" fontId="8" fillId="33" borderId="11" xfId="0" applyNumberFormat="1" applyFont="1" applyFill="1" applyBorder="1" applyAlignment="1">
      <alignment horizontal="right" vertical="center" wrapText="1"/>
    </xf>
    <xf numFmtId="196" fontId="8" fillId="0" borderId="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/>
    </xf>
    <xf numFmtId="192" fontId="5" fillId="35" borderId="17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190" fontId="5" fillId="34" borderId="10" xfId="0" applyNumberFormat="1" applyFont="1" applyFill="1" applyBorder="1" applyAlignment="1">
      <alignment horizontal="right" vertical="center"/>
    </xf>
    <xf numFmtId="190" fontId="5" fillId="34" borderId="10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/>
    </xf>
    <xf numFmtId="190" fontId="8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190" fontId="5" fillId="34" borderId="10" xfId="0" applyNumberFormat="1" applyFont="1" applyFill="1" applyBorder="1" applyAlignment="1">
      <alignment horizontal="right" vertical="center"/>
    </xf>
    <xf numFmtId="190" fontId="5" fillId="34" borderId="18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/>
    </xf>
    <xf numFmtId="187" fontId="5" fillId="36" borderId="10" xfId="66" applyFont="1" applyFill="1" applyBorder="1" applyAlignment="1">
      <alignment horizontal="left" vertical="center" wrapText="1"/>
    </xf>
    <xf numFmtId="187" fontId="5" fillId="36" borderId="15" xfId="66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horizontal="right" vertical="center"/>
    </xf>
    <xf numFmtId="4" fontId="3" fillId="33" borderId="15" xfId="0" applyNumberFormat="1" applyFont="1" applyFill="1" applyBorder="1" applyAlignment="1">
      <alignment horizontal="right" vertical="center"/>
    </xf>
    <xf numFmtId="190" fontId="5" fillId="34" borderId="10" xfId="0" applyNumberFormat="1" applyFont="1" applyFill="1" applyBorder="1" applyAlignment="1">
      <alignment horizontal="right" vertical="center" wrapText="1"/>
    </xf>
    <xf numFmtId="190" fontId="5" fillId="34" borderId="15" xfId="0" applyNumberFormat="1" applyFont="1" applyFill="1" applyBorder="1" applyAlignment="1">
      <alignment horizontal="right" vertical="center" wrapText="1"/>
    </xf>
    <xf numFmtId="190" fontId="5" fillId="34" borderId="10" xfId="0" applyNumberFormat="1" applyFont="1" applyFill="1" applyBorder="1" applyAlignment="1">
      <alignment vertical="center"/>
    </xf>
    <xf numFmtId="190" fontId="5" fillId="34" borderId="18" xfId="0" applyNumberFormat="1" applyFont="1" applyFill="1" applyBorder="1" applyAlignment="1">
      <alignment vertical="center"/>
    </xf>
    <xf numFmtId="190" fontId="5" fillId="34" borderId="15" xfId="0" applyNumberFormat="1" applyFont="1" applyFill="1" applyBorder="1" applyAlignment="1">
      <alignment vertical="center"/>
    </xf>
    <xf numFmtId="190" fontId="8" fillId="33" borderId="10" xfId="0" applyNumberFormat="1" applyFont="1" applyFill="1" applyBorder="1" applyAlignment="1">
      <alignment horizontal="right" vertical="center"/>
    </xf>
    <xf numFmtId="190" fontId="8" fillId="33" borderId="15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right" vertical="center"/>
    </xf>
    <xf numFmtId="190" fontId="9" fillId="33" borderId="18" xfId="0" applyNumberFormat="1" applyFont="1" applyFill="1" applyBorder="1" applyAlignment="1">
      <alignment horizontal="right" vertical="center"/>
    </xf>
    <xf numFmtId="190" fontId="9" fillId="33" borderId="15" xfId="0" applyNumberFormat="1" applyFont="1" applyFill="1" applyBorder="1" applyAlignment="1">
      <alignment horizontal="right" vertical="center"/>
    </xf>
    <xf numFmtId="190" fontId="8" fillId="0" borderId="10" xfId="0" applyNumberFormat="1" applyFont="1" applyFill="1" applyBorder="1" applyAlignment="1">
      <alignment horizontal="right" vertical="center"/>
    </xf>
    <xf numFmtId="190" fontId="8" fillId="0" borderId="15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90" fontId="8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4" fontId="5" fillId="33" borderId="24" xfId="0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right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left" vertical="center" wrapText="1"/>
    </xf>
    <xf numFmtId="188" fontId="3" fillId="0" borderId="12" xfId="0" applyNumberFormat="1" applyFon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90" fontId="8" fillId="0" borderId="20" xfId="0" applyNumberFormat="1" applyFont="1" applyFill="1" applyBorder="1" applyAlignment="1">
      <alignment horizontal="center" vertical="center"/>
    </xf>
    <xf numFmtId="190" fontId="8" fillId="0" borderId="12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 wrapText="1"/>
    </xf>
    <xf numFmtId="190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Звичайний 6" xfId="50"/>
    <cellStyle name="Звичайний 7" xfId="51"/>
    <cellStyle name="Звичайний 8" xfId="52"/>
    <cellStyle name="Звичайний 9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_Лист1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0"/>
  <sheetViews>
    <sheetView tabSelected="1" zoomScale="80" zoomScaleNormal="80" zoomScalePageLayoutView="0" workbookViewId="0" topLeftCell="A1">
      <selection activeCell="B125" sqref="A125:IV125"/>
    </sheetView>
  </sheetViews>
  <sheetFormatPr defaultColWidth="9.140625" defaultRowHeight="15"/>
  <cols>
    <col min="1" max="1" width="56.7109375" style="32" customWidth="1"/>
    <col min="2" max="2" width="33.8515625" style="31" customWidth="1"/>
    <col min="3" max="3" width="45.7109375" style="31" customWidth="1"/>
    <col min="4" max="4" width="18.28125" style="31" bestFit="1" customWidth="1"/>
    <col min="5" max="5" width="21.421875" style="31" customWidth="1"/>
    <col min="6" max="6" width="20.57421875" style="162" bestFit="1" customWidth="1"/>
    <col min="7" max="7" width="22.140625" style="86" bestFit="1" customWidth="1"/>
    <col min="8" max="8" width="20.28125" style="33" bestFit="1" customWidth="1"/>
    <col min="9" max="9" width="17.00390625" style="31" bestFit="1" customWidth="1"/>
    <col min="10" max="10" width="17.421875" style="34" customWidth="1"/>
    <col min="11" max="11" width="16.57421875" style="167" bestFit="1" customWidth="1"/>
    <col min="12" max="12" width="5.28125" style="35" bestFit="1" customWidth="1"/>
    <col min="13" max="13" width="21.8515625" style="35" customWidth="1"/>
    <col min="14" max="14" width="2.00390625" style="35" bestFit="1" customWidth="1"/>
    <col min="15" max="16384" width="9.140625" style="35" customWidth="1"/>
  </cols>
  <sheetData>
    <row r="1" spans="1:10" ht="15">
      <c r="A1" s="141"/>
      <c r="B1" s="35"/>
      <c r="C1" s="35"/>
      <c r="D1" s="35"/>
      <c r="E1" s="35"/>
      <c r="F1" s="159"/>
      <c r="G1" s="138"/>
      <c r="H1" s="114"/>
      <c r="I1" s="35"/>
      <c r="J1" s="150"/>
    </row>
    <row r="2" spans="1:10" ht="63" customHeight="1">
      <c r="A2" s="278" t="s">
        <v>430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5">
      <c r="A3" s="280" t="s">
        <v>429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ht="15">
      <c r="A4" s="139" t="s">
        <v>296</v>
      </c>
      <c r="B4" s="139"/>
      <c r="C4" s="139"/>
      <c r="D4" s="139"/>
      <c r="E4" s="139"/>
      <c r="F4" s="160"/>
      <c r="G4" s="140"/>
      <c r="H4" s="139"/>
      <c r="I4" s="139"/>
      <c r="J4" s="139"/>
    </row>
    <row r="5" spans="1:10" ht="15">
      <c r="A5" s="141"/>
      <c r="B5" s="35"/>
      <c r="C5" s="35"/>
      <c r="D5" s="35"/>
      <c r="E5" s="35"/>
      <c r="F5" s="159"/>
      <c r="G5" s="138"/>
      <c r="H5" s="114"/>
      <c r="I5" s="35"/>
      <c r="J5" s="150"/>
    </row>
    <row r="6" spans="1:12" ht="48.75" customHeight="1">
      <c r="A6" s="260" t="s">
        <v>261</v>
      </c>
      <c r="B6" s="260" t="s">
        <v>31</v>
      </c>
      <c r="C6" s="260" t="s">
        <v>32</v>
      </c>
      <c r="D6" s="260" t="s">
        <v>40</v>
      </c>
      <c r="E6" s="260" t="s">
        <v>34</v>
      </c>
      <c r="F6" s="284" t="s">
        <v>432</v>
      </c>
      <c r="G6" s="281" t="s">
        <v>33</v>
      </c>
      <c r="H6" s="281"/>
      <c r="I6" s="281" t="s">
        <v>262</v>
      </c>
      <c r="J6" s="281"/>
      <c r="K6" s="168">
        <f>3895.1/3656.86</f>
        <v>1.0651487888516378</v>
      </c>
      <c r="L6" s="35" t="s">
        <v>37</v>
      </c>
    </row>
    <row r="7" spans="1:10" ht="73.5" customHeight="1">
      <c r="A7" s="261"/>
      <c r="B7" s="261"/>
      <c r="C7" s="261"/>
      <c r="D7" s="261"/>
      <c r="E7" s="261"/>
      <c r="F7" s="285"/>
      <c r="G7" s="123" t="s">
        <v>280</v>
      </c>
      <c r="H7" s="26" t="s">
        <v>431</v>
      </c>
      <c r="I7" s="203">
        <v>2021</v>
      </c>
      <c r="J7" s="134">
        <v>2022</v>
      </c>
    </row>
    <row r="8" spans="1:13" ht="15">
      <c r="A8" s="142">
        <v>1</v>
      </c>
      <c r="B8" s="36">
        <v>2</v>
      </c>
      <c r="C8" s="36">
        <v>3</v>
      </c>
      <c r="D8" s="36">
        <v>4</v>
      </c>
      <c r="E8" s="36">
        <v>5</v>
      </c>
      <c r="F8" s="165">
        <v>6</v>
      </c>
      <c r="G8" s="37">
        <v>7</v>
      </c>
      <c r="H8" s="37">
        <v>8</v>
      </c>
      <c r="I8" s="37">
        <v>9</v>
      </c>
      <c r="J8" s="37">
        <v>10</v>
      </c>
      <c r="K8" s="167">
        <v>36.5686</v>
      </c>
      <c r="L8" s="35" t="s">
        <v>39</v>
      </c>
      <c r="M8" s="222"/>
    </row>
    <row r="9" spans="1:12" ht="42" customHeight="1">
      <c r="A9" s="87" t="s">
        <v>6</v>
      </c>
      <c r="B9" s="5"/>
      <c r="C9" s="5" t="s">
        <v>35</v>
      </c>
      <c r="D9" s="38">
        <f>(31.33472/1.95583)*K6</f>
        <v>17.064948925522767</v>
      </c>
      <c r="E9" s="4" t="s">
        <v>36</v>
      </c>
      <c r="F9" s="39">
        <f>6.05992048*K6</f>
        <v>6.454716959809235</v>
      </c>
      <c r="G9" s="42">
        <v>0</v>
      </c>
      <c r="H9" s="42">
        <f>16602698.89/1000000</f>
        <v>16.60269889</v>
      </c>
      <c r="I9" s="39">
        <f>1487087.72/1000000</f>
        <v>1.48708772</v>
      </c>
      <c r="J9" s="39">
        <v>0</v>
      </c>
      <c r="K9" s="167">
        <f>27.362/3656.86</f>
        <v>0.007482375589987037</v>
      </c>
      <c r="L9" s="35" t="s">
        <v>38</v>
      </c>
    </row>
    <row r="10" spans="1:10" ht="25.5">
      <c r="A10" s="136" t="s">
        <v>27</v>
      </c>
      <c r="B10" s="24" t="s">
        <v>139</v>
      </c>
      <c r="C10" s="25"/>
      <c r="D10" s="47">
        <f>13.03562003*K6</f>
        <v>13.884874886884651</v>
      </c>
      <c r="E10" s="28" t="s">
        <v>140</v>
      </c>
      <c r="F10" s="39">
        <v>0</v>
      </c>
      <c r="G10" s="42">
        <v>0</v>
      </c>
      <c r="H10" s="42">
        <f>4753481.16/1000000</f>
        <v>4.75348116</v>
      </c>
      <c r="I10" s="39">
        <v>0</v>
      </c>
      <c r="J10" s="39">
        <v>0</v>
      </c>
    </row>
    <row r="11" spans="1:10" ht="25.5">
      <c r="A11" s="87" t="s">
        <v>396</v>
      </c>
      <c r="B11" s="5"/>
      <c r="C11" s="6" t="s">
        <v>121</v>
      </c>
      <c r="D11" s="40">
        <v>70</v>
      </c>
      <c r="E11" s="5" t="s">
        <v>41</v>
      </c>
      <c r="F11" s="39">
        <v>54.89744468</v>
      </c>
      <c r="G11" s="42">
        <v>0</v>
      </c>
      <c r="H11" s="42">
        <f>488564577.61/1000000</f>
        <v>488.56457761</v>
      </c>
      <c r="I11" s="39">
        <v>0</v>
      </c>
      <c r="J11" s="39">
        <v>0</v>
      </c>
    </row>
    <row r="12" spans="1:10" ht="30" customHeight="1">
      <c r="A12" s="87" t="s">
        <v>394</v>
      </c>
      <c r="B12" s="9" t="s">
        <v>80</v>
      </c>
      <c r="C12" s="115" t="s">
        <v>81</v>
      </c>
      <c r="D12" s="38">
        <f>10.05469595</f>
        <v>10.05469595</v>
      </c>
      <c r="E12" s="4" t="s">
        <v>82</v>
      </c>
      <c r="F12" s="41">
        <f>7.56798078*K6</f>
        <v>8.061025561869473</v>
      </c>
      <c r="G12" s="42">
        <v>0</v>
      </c>
      <c r="H12" s="42">
        <f>64477909.48/1000000</f>
        <v>64.47790948</v>
      </c>
      <c r="I12" s="39">
        <v>0</v>
      </c>
      <c r="J12" s="39">
        <v>0</v>
      </c>
    </row>
    <row r="13" spans="1:11" s="174" customFormat="1" ht="30" customHeight="1">
      <c r="A13" s="87" t="s">
        <v>426</v>
      </c>
      <c r="B13" s="9"/>
      <c r="C13" s="115" t="s">
        <v>427</v>
      </c>
      <c r="D13" s="38"/>
      <c r="E13" s="4"/>
      <c r="F13" s="41">
        <v>0</v>
      </c>
      <c r="G13" s="42">
        <v>0</v>
      </c>
      <c r="H13" s="42">
        <v>0</v>
      </c>
      <c r="I13" s="39">
        <v>0</v>
      </c>
      <c r="J13" s="39">
        <f>95980.28/1000000+1075013.98/1000000</f>
        <v>1.17099426</v>
      </c>
      <c r="K13" s="167"/>
    </row>
    <row r="14" spans="1:11" s="174" customFormat="1" ht="47.25" customHeight="1">
      <c r="A14" s="87" t="s">
        <v>412</v>
      </c>
      <c r="B14" s="9"/>
      <c r="C14" s="115" t="s">
        <v>416</v>
      </c>
      <c r="D14" s="38">
        <f>((3700000000+5000000000)/K8)/1000000</f>
        <v>237.90902577621236</v>
      </c>
      <c r="E14" s="4"/>
      <c r="F14" s="39">
        <f>(1953334115.7/K8)/1000000</f>
        <v>53.4156110898421</v>
      </c>
      <c r="G14" s="42">
        <f>538808022.23/1000000</f>
        <v>538.80802223</v>
      </c>
      <c r="H14" s="42">
        <v>0</v>
      </c>
      <c r="I14" s="39">
        <f>25+45.5910491</f>
        <v>70.59104909999999</v>
      </c>
      <c r="J14" s="39">
        <v>0</v>
      </c>
      <c r="K14" s="167"/>
    </row>
    <row r="15" spans="1:11" s="212" customFormat="1" ht="30" customHeight="1">
      <c r="A15" s="93" t="s">
        <v>418</v>
      </c>
      <c r="B15" s="9" t="s">
        <v>419</v>
      </c>
      <c r="C15" s="115" t="s">
        <v>417</v>
      </c>
      <c r="D15" s="210">
        <f>1500000000/1000000</f>
        <v>1500</v>
      </c>
      <c r="E15" s="4"/>
      <c r="F15" s="70">
        <f>87659558.36/1000000</f>
        <v>87.65955836</v>
      </c>
      <c r="G15" s="51">
        <f>615893216.84/1000000</f>
        <v>615.89321684</v>
      </c>
      <c r="H15" s="51">
        <v>0</v>
      </c>
      <c r="I15" s="70">
        <v>0</v>
      </c>
      <c r="J15" s="70">
        <v>0</v>
      </c>
      <c r="K15" s="211"/>
    </row>
    <row r="16" spans="1:10" ht="75" customHeight="1">
      <c r="A16" s="87" t="s">
        <v>395</v>
      </c>
      <c r="B16" s="115" t="s">
        <v>119</v>
      </c>
      <c r="C16" s="115" t="s">
        <v>120</v>
      </c>
      <c r="D16" s="38">
        <v>60</v>
      </c>
      <c r="E16" s="8" t="s">
        <v>109</v>
      </c>
      <c r="F16" s="39">
        <v>17.04189723</v>
      </c>
      <c r="G16" s="42">
        <v>0</v>
      </c>
      <c r="H16" s="42">
        <f>211672676.9/1000000</f>
        <v>211.6726769</v>
      </c>
      <c r="I16" s="39">
        <v>0</v>
      </c>
      <c r="J16" s="39">
        <v>0</v>
      </c>
    </row>
    <row r="17" spans="1:10" ht="54" customHeight="1">
      <c r="A17" s="87" t="s">
        <v>379</v>
      </c>
      <c r="B17" s="115" t="s">
        <v>56</v>
      </c>
      <c r="C17" s="115" t="s">
        <v>243</v>
      </c>
      <c r="D17" s="38">
        <v>60.9161</v>
      </c>
      <c r="E17" s="4" t="s">
        <v>57</v>
      </c>
      <c r="F17" s="39">
        <v>78.34178513</v>
      </c>
      <c r="G17" s="42">
        <v>0</v>
      </c>
      <c r="H17" s="42">
        <f>577046325.96/1000000</f>
        <v>577.04632596</v>
      </c>
      <c r="I17" s="39">
        <v>0</v>
      </c>
      <c r="J17" s="39">
        <v>0</v>
      </c>
    </row>
    <row r="18" spans="1:14" ht="40.5" customHeight="1">
      <c r="A18" s="98" t="s">
        <v>383</v>
      </c>
      <c r="B18" s="115" t="s">
        <v>73</v>
      </c>
      <c r="C18" s="115" t="s">
        <v>74</v>
      </c>
      <c r="D18" s="38">
        <v>85</v>
      </c>
      <c r="E18" s="4" t="s">
        <v>297</v>
      </c>
      <c r="F18" s="39">
        <f>189091.26/1000000+112368450.9/1000000</f>
        <v>112.55754216</v>
      </c>
      <c r="G18" s="42">
        <f>2683162652.49/1000000</f>
        <v>2683.16265249</v>
      </c>
      <c r="H18" s="51">
        <v>0</v>
      </c>
      <c r="I18" s="39">
        <v>0</v>
      </c>
      <c r="J18" s="39">
        <v>0</v>
      </c>
      <c r="N18" s="35">
        <v>7</v>
      </c>
    </row>
    <row r="19" spans="1:10" ht="41.25" customHeight="1" hidden="1">
      <c r="A19" s="88" t="s">
        <v>292</v>
      </c>
      <c r="B19" s="132" t="s">
        <v>290</v>
      </c>
      <c r="C19" s="132" t="s">
        <v>291</v>
      </c>
      <c r="D19" s="127">
        <v>65.4</v>
      </c>
      <c r="E19" s="4" t="s">
        <v>75</v>
      </c>
      <c r="F19" s="39">
        <v>0</v>
      </c>
      <c r="G19" s="42">
        <v>0</v>
      </c>
      <c r="H19" s="42">
        <v>0</v>
      </c>
      <c r="I19" s="39">
        <v>0</v>
      </c>
      <c r="J19" s="39">
        <v>0</v>
      </c>
    </row>
    <row r="20" spans="1:10" ht="25.5">
      <c r="A20" s="88" t="s">
        <v>293</v>
      </c>
      <c r="B20" s="132"/>
      <c r="C20" s="132" t="s">
        <v>294</v>
      </c>
      <c r="D20" s="127">
        <f>101.905584*K7</f>
        <v>0</v>
      </c>
      <c r="E20" s="29" t="s">
        <v>295</v>
      </c>
      <c r="F20" s="39">
        <f>133.12980464*K6</f>
        <v>141.80305017235116</v>
      </c>
      <c r="G20" s="42">
        <v>0</v>
      </c>
      <c r="H20" s="42">
        <f>749334187/1000000</f>
        <v>749.334187</v>
      </c>
      <c r="I20" s="39">
        <v>0</v>
      </c>
      <c r="J20" s="39">
        <v>0</v>
      </c>
    </row>
    <row r="21" spans="1:10" ht="45.75" customHeight="1">
      <c r="A21" s="87" t="s">
        <v>381</v>
      </c>
      <c r="B21" s="131"/>
      <c r="C21" s="132" t="s">
        <v>62</v>
      </c>
      <c r="D21" s="127">
        <f>(212.5/1.95583)*K6</f>
        <v>115.72790970123837</v>
      </c>
      <c r="E21" s="29" t="s">
        <v>63</v>
      </c>
      <c r="F21" s="39">
        <f>170.33755291*K6</f>
        <v>181.43483817803826</v>
      </c>
      <c r="G21" s="42">
        <v>0</v>
      </c>
      <c r="H21" s="42">
        <f>249480699.81/1000000</f>
        <v>249.48069981</v>
      </c>
      <c r="I21" s="39">
        <v>0</v>
      </c>
      <c r="J21" s="39">
        <v>0</v>
      </c>
    </row>
    <row r="22" spans="1:10" ht="42.75" customHeight="1">
      <c r="A22" s="92" t="s">
        <v>1</v>
      </c>
      <c r="B22" s="9" t="s">
        <v>86</v>
      </c>
      <c r="C22" s="9" t="s">
        <v>97</v>
      </c>
      <c r="D22" s="38">
        <v>3.97236679</v>
      </c>
      <c r="E22" s="8" t="s">
        <v>85</v>
      </c>
      <c r="F22" s="39">
        <f>(695164.08+5534382.56)/1000000</f>
        <v>6.22954664</v>
      </c>
      <c r="G22" s="42">
        <f>31952196.72/1000000+110322081.62/1000000</f>
        <v>142.27427834</v>
      </c>
      <c r="H22" s="38">
        <f>105121056.19/1000000</f>
        <v>105.12105619</v>
      </c>
      <c r="I22" s="39">
        <v>0</v>
      </c>
      <c r="J22" s="39">
        <v>0</v>
      </c>
    </row>
    <row r="23" spans="1:10" ht="105">
      <c r="A23" s="89" t="s">
        <v>244</v>
      </c>
      <c r="B23" s="2"/>
      <c r="C23" s="115" t="s">
        <v>141</v>
      </c>
      <c r="D23" s="38">
        <f>8.264188/K8</f>
        <v>0.22599136964499597</v>
      </c>
      <c r="E23" s="19" t="s">
        <v>143</v>
      </c>
      <c r="F23" s="39">
        <f>8.05722071/K8</f>
        <v>0.22033167006666918</v>
      </c>
      <c r="G23" s="45">
        <v>0</v>
      </c>
      <c r="H23" s="46">
        <f>11329562.38/1000000</f>
        <v>11.32956238</v>
      </c>
      <c r="I23" s="39">
        <v>0</v>
      </c>
      <c r="J23" s="39">
        <v>0</v>
      </c>
    </row>
    <row r="24" spans="1:10" ht="45.75" customHeight="1">
      <c r="A24" s="93" t="s">
        <v>386</v>
      </c>
      <c r="B24" s="9" t="s">
        <v>88</v>
      </c>
      <c r="C24" s="9" t="s">
        <v>142</v>
      </c>
      <c r="D24" s="38">
        <f>(11.65592102+9.7393434)*K6</f>
        <v>22.789139984123533</v>
      </c>
      <c r="E24" s="4" t="s">
        <v>89</v>
      </c>
      <c r="F24" s="39">
        <f>0.83953336*K6+15.20928932*K6</f>
        <v>17.094384040096696</v>
      </c>
      <c r="G24" s="42">
        <f>719003746.18/1000000</f>
        <v>719.0037461799999</v>
      </c>
      <c r="H24" s="42">
        <f>48924204.39/1000000</f>
        <v>48.92420439</v>
      </c>
      <c r="I24" s="39">
        <v>0</v>
      </c>
      <c r="J24" s="39">
        <v>0</v>
      </c>
    </row>
    <row r="25" spans="1:10" ht="51">
      <c r="A25" s="256" t="s">
        <v>2</v>
      </c>
      <c r="B25" s="115" t="s">
        <v>86</v>
      </c>
      <c r="C25" s="115" t="s">
        <v>91</v>
      </c>
      <c r="D25" s="38">
        <v>6.027</v>
      </c>
      <c r="E25" s="3"/>
      <c r="F25" s="39">
        <f>1.02694441+7.73772529</f>
        <v>8.7646697</v>
      </c>
      <c r="G25" s="42">
        <f>102649283.62/1000000</f>
        <v>102.64928362</v>
      </c>
      <c r="H25" s="60">
        <f>(357947.15+880341.73)/1000000</f>
        <v>1.2382888799999998</v>
      </c>
      <c r="I25" s="39">
        <f>175153.85/1000000+2846.95/1000000</f>
        <v>0.1780008</v>
      </c>
      <c r="J25" s="39">
        <v>0</v>
      </c>
    </row>
    <row r="26" spans="1:10" ht="25.5">
      <c r="A26" s="257"/>
      <c r="B26" s="115" t="s">
        <v>93</v>
      </c>
      <c r="C26" s="115" t="s">
        <v>94</v>
      </c>
      <c r="D26" s="38">
        <v>0.607</v>
      </c>
      <c r="E26" s="3"/>
      <c r="F26" s="39">
        <v>0</v>
      </c>
      <c r="G26" s="42">
        <v>0</v>
      </c>
      <c r="H26" s="119">
        <v>0</v>
      </c>
      <c r="I26" s="39">
        <v>0</v>
      </c>
      <c r="J26" s="39">
        <v>0</v>
      </c>
    </row>
    <row r="27" spans="1:10" ht="25.5">
      <c r="A27" s="258"/>
      <c r="B27" s="115" t="s">
        <v>92</v>
      </c>
      <c r="C27" s="2"/>
      <c r="D27" s="38">
        <v>1.007</v>
      </c>
      <c r="E27" s="3"/>
      <c r="F27" s="39">
        <v>1.00689792</v>
      </c>
      <c r="G27" s="42">
        <v>0</v>
      </c>
      <c r="H27" s="119">
        <v>0</v>
      </c>
      <c r="I27" s="39">
        <v>0</v>
      </c>
      <c r="J27" s="39">
        <v>0</v>
      </c>
    </row>
    <row r="28" spans="1:10" ht="51">
      <c r="A28" s="93" t="s">
        <v>282</v>
      </c>
      <c r="B28" s="115" t="s">
        <v>106</v>
      </c>
      <c r="C28" s="115" t="s">
        <v>263</v>
      </c>
      <c r="D28" s="38">
        <f>39.23986236*K6</f>
        <v>41.79629186745896</v>
      </c>
      <c r="E28" s="4" t="s">
        <v>107</v>
      </c>
      <c r="F28" s="39">
        <f>29.43848711*K6</f>
        <v>31.35636889084105</v>
      </c>
      <c r="G28" s="42">
        <v>0</v>
      </c>
      <c r="H28" s="42">
        <f>337819841.94/1000000</f>
        <v>337.81984194</v>
      </c>
      <c r="I28" s="39">
        <v>0</v>
      </c>
      <c r="J28" s="39">
        <v>0</v>
      </c>
    </row>
    <row r="29" spans="1:10" ht="38.25">
      <c r="A29" s="98" t="s">
        <v>8</v>
      </c>
      <c r="B29" s="2"/>
      <c r="C29" s="115" t="s">
        <v>352</v>
      </c>
      <c r="D29" s="38"/>
      <c r="E29" s="19" t="s">
        <v>85</v>
      </c>
      <c r="F29" s="39">
        <f>77.60729091/K8</f>
        <v>2.122238502704506</v>
      </c>
      <c r="G29" s="42">
        <v>0</v>
      </c>
      <c r="H29" s="42">
        <f>63088365.31/1000000</f>
        <v>63.08836531</v>
      </c>
      <c r="I29" s="39">
        <v>0</v>
      </c>
      <c r="J29" s="39">
        <v>0</v>
      </c>
    </row>
    <row r="30" spans="1:10" ht="15">
      <c r="A30" s="93" t="s">
        <v>11</v>
      </c>
      <c r="B30" s="44"/>
      <c r="C30" s="19" t="s">
        <v>144</v>
      </c>
      <c r="D30" s="38">
        <f>372313538/1000000</f>
        <v>372.313538</v>
      </c>
      <c r="E30" s="43"/>
      <c r="F30" s="39">
        <f>61780890.53/1000000</f>
        <v>61.78089053</v>
      </c>
      <c r="G30" s="42">
        <f>1680655094.57/1000000</f>
        <v>1680.6550945699998</v>
      </c>
      <c r="H30" s="38">
        <v>0</v>
      </c>
      <c r="I30" s="39">
        <v>0</v>
      </c>
      <c r="J30" s="39">
        <v>0</v>
      </c>
    </row>
    <row r="31" spans="1:10" ht="25.5">
      <c r="A31" s="93" t="s">
        <v>304</v>
      </c>
      <c r="B31" s="44"/>
      <c r="C31" s="7" t="s">
        <v>305</v>
      </c>
      <c r="D31" s="38">
        <f>292433560/1000000</f>
        <v>292.43356</v>
      </c>
      <c r="E31" s="4" t="s">
        <v>47</v>
      </c>
      <c r="F31" s="39">
        <f>131117888.4/1000000</f>
        <v>131.1178884</v>
      </c>
      <c r="G31" s="42">
        <f>1717067960.83/1000000</f>
        <v>1717.06796083</v>
      </c>
      <c r="H31" s="38">
        <v>0</v>
      </c>
      <c r="I31" s="39">
        <v>0</v>
      </c>
      <c r="J31" s="39">
        <v>0</v>
      </c>
    </row>
    <row r="32" spans="1:10" ht="28.5">
      <c r="A32" s="98" t="s">
        <v>404</v>
      </c>
      <c r="B32" s="115" t="s">
        <v>46</v>
      </c>
      <c r="C32" s="115" t="s">
        <v>67</v>
      </c>
      <c r="D32" s="38">
        <v>107.8</v>
      </c>
      <c r="E32" s="4" t="s">
        <v>264</v>
      </c>
      <c r="F32" s="39">
        <f>94100945.4/1000000</f>
        <v>94.1009454</v>
      </c>
      <c r="G32" s="42">
        <v>0</v>
      </c>
      <c r="H32" s="38">
        <v>0</v>
      </c>
      <c r="I32" s="39">
        <v>0</v>
      </c>
      <c r="J32" s="39">
        <v>0</v>
      </c>
    </row>
    <row r="33" spans="1:10" ht="15">
      <c r="A33" s="98" t="s">
        <v>355</v>
      </c>
      <c r="B33" s="115"/>
      <c r="C33" s="115" t="s">
        <v>356</v>
      </c>
      <c r="D33" s="38">
        <f>(528984026.26/K8)/1000000</f>
        <v>14.465525786056888</v>
      </c>
      <c r="E33" s="4"/>
      <c r="F33" s="39">
        <f>(12827007.16/K8)/1000000</f>
        <v>0.3507656065586322</v>
      </c>
      <c r="G33" s="42">
        <f>3792858.29/1000000</f>
        <v>3.79285829</v>
      </c>
      <c r="H33" s="38">
        <v>0</v>
      </c>
      <c r="I33" s="39">
        <v>0</v>
      </c>
      <c r="J33" s="39">
        <v>0</v>
      </c>
    </row>
    <row r="34" spans="1:10" ht="28.5">
      <c r="A34" s="93" t="s">
        <v>283</v>
      </c>
      <c r="B34" s="5" t="s">
        <v>55</v>
      </c>
      <c r="C34" s="5" t="s">
        <v>66</v>
      </c>
      <c r="D34" s="38">
        <f>4.09479198*K6</f>
        <v>4.3615627180964</v>
      </c>
      <c r="E34" s="8" t="s">
        <v>54</v>
      </c>
      <c r="F34" s="39">
        <f>3.99062006*K6</f>
        <v>4.25060412367605</v>
      </c>
      <c r="G34" s="42">
        <v>0</v>
      </c>
      <c r="H34" s="42">
        <f>9021661.38/1000000</f>
        <v>9.021661380000001</v>
      </c>
      <c r="I34" s="39">
        <v>0</v>
      </c>
      <c r="J34" s="39">
        <v>0</v>
      </c>
    </row>
    <row r="35" spans="1:11" s="174" customFormat="1" ht="59.25" customHeight="1">
      <c r="A35" s="88" t="s">
        <v>411</v>
      </c>
      <c r="B35" s="273" t="s">
        <v>361</v>
      </c>
      <c r="C35" s="274"/>
      <c r="D35" s="38">
        <f>4.00923188*K6</f>
        <v>4.270428481207374</v>
      </c>
      <c r="E35" s="8" t="s">
        <v>54</v>
      </c>
      <c r="F35" s="180">
        <f>3.06132518*K6</f>
        <v>3.260766807758022</v>
      </c>
      <c r="G35" s="47">
        <v>0</v>
      </c>
      <c r="H35" s="47">
        <v>0</v>
      </c>
      <c r="I35" s="204">
        <v>0</v>
      </c>
      <c r="J35" s="179">
        <v>0</v>
      </c>
      <c r="K35" s="167"/>
    </row>
    <row r="36" spans="1:10" ht="54" customHeight="1">
      <c r="A36" s="89" t="s">
        <v>309</v>
      </c>
      <c r="B36" s="275" t="s">
        <v>308</v>
      </c>
      <c r="C36" s="276"/>
      <c r="D36" s="42">
        <f>4.04310139*K6</f>
        <v>4.306504548762874</v>
      </c>
      <c r="E36" s="8" t="s">
        <v>54</v>
      </c>
      <c r="F36" s="157">
        <f>3.64389715*K6</f>
        <v>3.8812926360224345</v>
      </c>
      <c r="G36" s="46">
        <v>0</v>
      </c>
      <c r="H36" s="46">
        <f>38176712.89/1000000</f>
        <v>38.17671289</v>
      </c>
      <c r="I36" s="204">
        <v>0</v>
      </c>
      <c r="J36" s="128">
        <v>0</v>
      </c>
    </row>
    <row r="37" spans="1:10" ht="15">
      <c r="A37" s="88" t="s">
        <v>179</v>
      </c>
      <c r="B37" s="115"/>
      <c r="C37" s="115" t="s">
        <v>180</v>
      </c>
      <c r="D37" s="42"/>
      <c r="E37" s="8"/>
      <c r="F37" s="157">
        <v>0</v>
      </c>
      <c r="G37" s="47">
        <f>504461910.89/1000000</f>
        <v>504.46191089</v>
      </c>
      <c r="H37" s="47">
        <v>0</v>
      </c>
      <c r="I37" s="204">
        <v>0</v>
      </c>
      <c r="J37" s="128">
        <f>40621522.64/1000000+1499999979.98/1000000+799523102.84/1000000</f>
        <v>2340.14460546</v>
      </c>
    </row>
    <row r="38" spans="1:10" ht="31.5" customHeight="1">
      <c r="A38" s="98" t="s">
        <v>9</v>
      </c>
      <c r="B38" s="115" t="s">
        <v>289</v>
      </c>
      <c r="C38" s="115" t="s">
        <v>288</v>
      </c>
      <c r="D38" s="38"/>
      <c r="E38" s="2"/>
      <c r="F38" s="39">
        <v>0</v>
      </c>
      <c r="G38" s="42">
        <v>0</v>
      </c>
      <c r="H38" s="38">
        <v>0</v>
      </c>
      <c r="I38" s="39">
        <f>17.65075+8.393974+8.393974+8.393974</f>
        <v>42.832672</v>
      </c>
      <c r="J38" s="204">
        <f>8393974/1000000+8393974/1000000+8393974/1000000+8393974/1000000</f>
        <v>33.575896</v>
      </c>
    </row>
    <row r="39" spans="1:11" s="174" customFormat="1" ht="38.25">
      <c r="A39" s="98" t="s">
        <v>424</v>
      </c>
      <c r="B39" s="115"/>
      <c r="C39" s="115" t="s">
        <v>425</v>
      </c>
      <c r="D39" s="38"/>
      <c r="E39" s="2"/>
      <c r="F39" s="39">
        <v>5.64534889</v>
      </c>
      <c r="G39" s="282" t="s">
        <v>423</v>
      </c>
      <c r="H39" s="283"/>
      <c r="I39" s="39">
        <v>0</v>
      </c>
      <c r="J39" s="223">
        <v>0</v>
      </c>
      <c r="K39" s="167"/>
    </row>
    <row r="40" spans="1:11" s="174" customFormat="1" ht="36" customHeight="1">
      <c r="A40" s="98" t="s">
        <v>421</v>
      </c>
      <c r="B40" s="115"/>
      <c r="C40" s="115" t="s">
        <v>422</v>
      </c>
      <c r="D40" s="38">
        <f>64000000/1000000*K6</f>
        <v>68.16952248650482</v>
      </c>
      <c r="E40" s="2"/>
      <c r="F40" s="213">
        <f>625.76/1000000*K6</f>
        <v>0.0006665275061118008</v>
      </c>
      <c r="G40" s="282" t="s">
        <v>423</v>
      </c>
      <c r="H40" s="283"/>
      <c r="I40" s="39">
        <v>0</v>
      </c>
      <c r="J40" s="208">
        <v>0</v>
      </c>
      <c r="K40" s="167"/>
    </row>
    <row r="41" spans="1:10" ht="38.25">
      <c r="A41" s="93" t="s">
        <v>26</v>
      </c>
      <c r="B41" s="115" t="s">
        <v>146</v>
      </c>
      <c r="C41" s="115" t="s">
        <v>265</v>
      </c>
      <c r="D41" s="38">
        <f>5.7420837*K6</f>
        <v>6.116173498539731</v>
      </c>
      <c r="E41" s="4" t="s">
        <v>145</v>
      </c>
      <c r="F41" s="39">
        <f>6.94654091*K6</f>
        <v>7.399099636994854</v>
      </c>
      <c r="G41" s="42">
        <v>0</v>
      </c>
      <c r="H41" s="42">
        <f>105184060.66/1000000</f>
        <v>105.18406066</v>
      </c>
      <c r="I41" s="39">
        <v>0</v>
      </c>
      <c r="J41" s="39">
        <v>0</v>
      </c>
    </row>
    <row r="42" spans="1:10" ht="25.5">
      <c r="A42" s="254" t="s">
        <v>5</v>
      </c>
      <c r="B42" s="5" t="s">
        <v>128</v>
      </c>
      <c r="C42" s="5" t="s">
        <v>129</v>
      </c>
      <c r="D42" s="38">
        <v>82.238588</v>
      </c>
      <c r="E42" s="8" t="s">
        <v>54</v>
      </c>
      <c r="F42" s="39">
        <f>72.8623067+2.84250234</f>
        <v>75.70480904</v>
      </c>
      <c r="G42" s="42">
        <v>0</v>
      </c>
      <c r="H42" s="250">
        <f>(90886115.89+6415859.85)/1000000</f>
        <v>97.30197573999999</v>
      </c>
      <c r="I42" s="39">
        <v>0</v>
      </c>
      <c r="J42" s="39">
        <v>0</v>
      </c>
    </row>
    <row r="43" spans="1:10" ht="25.5">
      <c r="A43" s="265"/>
      <c r="B43" s="5" t="s">
        <v>128</v>
      </c>
      <c r="C43" s="5" t="s">
        <v>130</v>
      </c>
      <c r="D43" s="38">
        <v>13.4445</v>
      </c>
      <c r="E43" s="8" t="s">
        <v>54</v>
      </c>
      <c r="F43" s="39">
        <v>16.70219829</v>
      </c>
      <c r="G43" s="42">
        <v>0</v>
      </c>
      <c r="H43" s="251"/>
      <c r="I43" s="39">
        <v>0</v>
      </c>
      <c r="J43" s="39">
        <v>0</v>
      </c>
    </row>
    <row r="44" spans="1:10" ht="38.25">
      <c r="A44" s="265"/>
      <c r="B44" s="11" t="s">
        <v>127</v>
      </c>
      <c r="C44" s="12" t="s">
        <v>278</v>
      </c>
      <c r="D44" s="38">
        <f>27.64938569*K6</f>
        <v>29.450709680195303</v>
      </c>
      <c r="E44" s="8" t="s">
        <v>54</v>
      </c>
      <c r="F44" s="39">
        <f>35.30425976*K6</f>
        <v>37.604289524667614</v>
      </c>
      <c r="G44" s="42">
        <v>0</v>
      </c>
      <c r="H44" s="250">
        <f>102899937.6/1000000</f>
        <v>102.89993759999999</v>
      </c>
      <c r="I44" s="39">
        <v>0</v>
      </c>
      <c r="J44" s="39">
        <v>0</v>
      </c>
    </row>
    <row r="45" spans="1:10" ht="69.75" customHeight="1">
      <c r="A45" s="265"/>
      <c r="B45" s="11" t="s">
        <v>131</v>
      </c>
      <c r="C45" s="12" t="s">
        <v>277</v>
      </c>
      <c r="D45" s="38">
        <f>(259.13228873/1.95583)*K6</f>
        <v>141.1239440509208</v>
      </c>
      <c r="E45" s="8" t="s">
        <v>54</v>
      </c>
      <c r="F45" s="39">
        <f>194.11881183*K6</f>
        <v>206.76541731404348</v>
      </c>
      <c r="G45" s="42">
        <v>0</v>
      </c>
      <c r="H45" s="251"/>
      <c r="I45" s="39">
        <v>0</v>
      </c>
      <c r="J45" s="39">
        <v>0</v>
      </c>
    </row>
    <row r="46" spans="1:10" ht="15">
      <c r="A46" s="255"/>
      <c r="B46" s="11" t="s">
        <v>279</v>
      </c>
      <c r="C46" s="12"/>
      <c r="D46" s="38">
        <v>3</v>
      </c>
      <c r="E46" s="8" t="s">
        <v>125</v>
      </c>
      <c r="F46" s="39">
        <v>2.55</v>
      </c>
      <c r="G46" s="42">
        <v>0</v>
      </c>
      <c r="H46" s="42">
        <v>0</v>
      </c>
      <c r="I46" s="39">
        <v>0</v>
      </c>
      <c r="J46" s="39">
        <v>0</v>
      </c>
    </row>
    <row r="47" spans="1:10" ht="39" customHeight="1">
      <c r="A47" s="87" t="s">
        <v>3</v>
      </c>
      <c r="B47" s="9" t="s">
        <v>104</v>
      </c>
      <c r="C47" s="115" t="s">
        <v>105</v>
      </c>
      <c r="D47" s="38">
        <f>171.476378+28.103729</f>
        <v>199.580107</v>
      </c>
      <c r="E47" s="8" t="s">
        <v>54</v>
      </c>
      <c r="F47" s="39">
        <v>152.33522121</v>
      </c>
      <c r="G47" s="42">
        <v>0</v>
      </c>
      <c r="H47" s="42">
        <f>1153205511.23/1000000</f>
        <v>1153.20551123</v>
      </c>
      <c r="I47" s="39">
        <v>0</v>
      </c>
      <c r="J47" s="39">
        <v>0</v>
      </c>
    </row>
    <row r="48" spans="1:10" ht="38.25">
      <c r="A48" s="87" t="s">
        <v>299</v>
      </c>
      <c r="B48" s="115" t="s">
        <v>300</v>
      </c>
      <c r="C48" s="115" t="s">
        <v>301</v>
      </c>
      <c r="D48" s="38">
        <f>39.4968802+19.99940604</f>
        <v>59.49628624</v>
      </c>
      <c r="E48" s="8" t="s">
        <v>85</v>
      </c>
      <c r="F48" s="39">
        <f>27261797.55/1000000</f>
        <v>27.26179755</v>
      </c>
      <c r="G48" s="42">
        <v>0</v>
      </c>
      <c r="H48" s="42">
        <f>278495295.4/1000000</f>
        <v>278.4952954</v>
      </c>
      <c r="I48" s="39">
        <v>0</v>
      </c>
      <c r="J48" s="39">
        <v>0</v>
      </c>
    </row>
    <row r="49" spans="1:10" ht="28.5">
      <c r="A49" s="93" t="s">
        <v>302</v>
      </c>
      <c r="B49" s="2"/>
      <c r="C49" s="115" t="s">
        <v>303</v>
      </c>
      <c r="D49" s="38"/>
      <c r="E49" s="8" t="s">
        <v>85</v>
      </c>
      <c r="F49" s="39">
        <f>73694411.68/1000000</f>
        <v>73.69441168</v>
      </c>
      <c r="G49" s="42">
        <v>0</v>
      </c>
      <c r="H49" s="42">
        <f>290125389.39/1000000</f>
        <v>290.12538939</v>
      </c>
      <c r="I49" s="39">
        <v>0</v>
      </c>
      <c r="J49" s="39">
        <v>0</v>
      </c>
    </row>
    <row r="50" spans="1:10" ht="25.5">
      <c r="A50" s="87" t="s">
        <v>375</v>
      </c>
      <c r="B50" s="11" t="s">
        <v>271</v>
      </c>
      <c r="C50" s="5"/>
      <c r="D50" s="112">
        <v>16.9449426</v>
      </c>
      <c r="E50" s="5" t="s">
        <v>125</v>
      </c>
      <c r="F50" s="41">
        <v>16.88251672</v>
      </c>
      <c r="G50" s="42">
        <v>0</v>
      </c>
      <c r="H50" s="42">
        <v>0</v>
      </c>
      <c r="I50" s="39">
        <v>0</v>
      </c>
      <c r="J50" s="39">
        <v>0</v>
      </c>
    </row>
    <row r="51" spans="1:10" ht="25.5">
      <c r="A51" s="88" t="s">
        <v>72</v>
      </c>
      <c r="B51" s="115" t="s">
        <v>70</v>
      </c>
      <c r="C51" s="115" t="s">
        <v>71</v>
      </c>
      <c r="D51" s="38">
        <f>2.77353707*K6</f>
        <v>2.9542296509456203</v>
      </c>
      <c r="E51" s="8" t="s">
        <v>54</v>
      </c>
      <c r="F51" s="157">
        <f>2.28872099*K6</f>
        <v>2.4378283905178213</v>
      </c>
      <c r="G51" s="50">
        <v>0</v>
      </c>
      <c r="H51" s="42">
        <f>7018311.34/1000000</f>
        <v>7.0183113399999995</v>
      </c>
      <c r="I51" s="39">
        <v>0</v>
      </c>
      <c r="J51" s="39">
        <v>0</v>
      </c>
    </row>
    <row r="52" spans="1:10" ht="30" customHeight="1">
      <c r="A52" s="98" t="s">
        <v>393</v>
      </c>
      <c r="B52" s="9" t="s">
        <v>98</v>
      </c>
      <c r="C52" s="2"/>
      <c r="D52" s="38"/>
      <c r="E52" s="2"/>
      <c r="F52" s="39">
        <f>0.14794233/K8</f>
        <v>0.004045610988662404</v>
      </c>
      <c r="G52" s="42">
        <v>0</v>
      </c>
      <c r="H52" s="42">
        <f>(356170.23-488.37-5000)/1000000</f>
        <v>0.35068186</v>
      </c>
      <c r="I52" s="39">
        <v>0</v>
      </c>
      <c r="J52" s="39">
        <v>0</v>
      </c>
    </row>
    <row r="53" spans="1:10" ht="60">
      <c r="A53" s="93" t="s">
        <v>380</v>
      </c>
      <c r="B53" s="228" t="s">
        <v>58</v>
      </c>
      <c r="C53" s="228" t="s">
        <v>59</v>
      </c>
      <c r="D53" s="243">
        <f>1.2782297*K6</f>
        <v>1.3615048168291923</v>
      </c>
      <c r="E53" s="245" t="s">
        <v>60</v>
      </c>
      <c r="F53" s="230">
        <f>1.35205745*K6</f>
        <v>1.4401423553253339</v>
      </c>
      <c r="G53" s="42">
        <v>0</v>
      </c>
      <c r="H53" s="42">
        <f>22431935.78/1000000</f>
        <v>22.43193578</v>
      </c>
      <c r="I53" s="49">
        <v>0</v>
      </c>
      <c r="J53" s="49">
        <v>0</v>
      </c>
    </row>
    <row r="54" spans="1:10" ht="59.25">
      <c r="A54" s="104" t="s">
        <v>266</v>
      </c>
      <c r="B54" s="229"/>
      <c r="C54" s="229"/>
      <c r="D54" s="244"/>
      <c r="E54" s="246"/>
      <c r="F54" s="232"/>
      <c r="G54" s="50">
        <v>0</v>
      </c>
      <c r="H54" s="50">
        <f>17306991.63/1000000</f>
        <v>17.30699163</v>
      </c>
      <c r="I54" s="207">
        <v>0</v>
      </c>
      <c r="J54" s="130">
        <v>0</v>
      </c>
    </row>
    <row r="55" spans="1:10" ht="25.5">
      <c r="A55" s="87" t="s">
        <v>372</v>
      </c>
      <c r="B55" s="115" t="s">
        <v>44</v>
      </c>
      <c r="C55" s="115" t="s">
        <v>45</v>
      </c>
      <c r="D55" s="42">
        <f>1.18324139*K6</f>
        <v>1.2603281334776284</v>
      </c>
      <c r="E55" s="4" t="s">
        <v>41</v>
      </c>
      <c r="F55" s="39">
        <f>1.04163781*K6</f>
        <v>1.1094992517435724</v>
      </c>
      <c r="G55" s="43">
        <v>0</v>
      </c>
      <c r="H55" s="42">
        <f>6145495.89/1000000</f>
        <v>6.145495889999999</v>
      </c>
      <c r="I55" s="39">
        <v>0</v>
      </c>
      <c r="J55" s="39">
        <v>0</v>
      </c>
    </row>
    <row r="56" spans="1:10" ht="15">
      <c r="A56" s="254" t="s">
        <v>4</v>
      </c>
      <c r="B56" s="10" t="s">
        <v>124</v>
      </c>
      <c r="C56" s="10" t="s">
        <v>349</v>
      </c>
      <c r="D56" s="52">
        <v>66.3</v>
      </c>
      <c r="E56" s="8" t="s">
        <v>54</v>
      </c>
      <c r="F56" s="39">
        <v>51.22389627</v>
      </c>
      <c r="G56" s="42">
        <v>0</v>
      </c>
      <c r="H56" s="250">
        <f>510334581.41/1000000</f>
        <v>510.33458141</v>
      </c>
      <c r="I56" s="39">
        <v>0</v>
      </c>
      <c r="J56" s="39">
        <v>0</v>
      </c>
    </row>
    <row r="57" spans="1:10" ht="15">
      <c r="A57" s="265"/>
      <c r="B57" s="10" t="s">
        <v>124</v>
      </c>
      <c r="C57" s="10" t="s">
        <v>350</v>
      </c>
      <c r="D57" s="52">
        <v>10.842</v>
      </c>
      <c r="E57" s="8" t="s">
        <v>54</v>
      </c>
      <c r="F57" s="39">
        <v>3.21644088</v>
      </c>
      <c r="G57" s="42">
        <v>0</v>
      </c>
      <c r="H57" s="251"/>
      <c r="I57" s="39">
        <v>0</v>
      </c>
      <c r="J57" s="39">
        <v>0</v>
      </c>
    </row>
    <row r="58" spans="1:10" ht="15">
      <c r="A58" s="265"/>
      <c r="B58" s="10" t="s">
        <v>279</v>
      </c>
      <c r="C58" s="10"/>
      <c r="D58" s="52">
        <v>3</v>
      </c>
      <c r="E58" s="8" t="s">
        <v>125</v>
      </c>
      <c r="F58" s="39">
        <v>1.56397179</v>
      </c>
      <c r="G58" s="42">
        <v>0</v>
      </c>
      <c r="H58" s="42">
        <v>0</v>
      </c>
      <c r="I58" s="39">
        <v>0</v>
      </c>
      <c r="J58" s="39">
        <v>0</v>
      </c>
    </row>
    <row r="59" spans="1:10" ht="33" customHeight="1">
      <c r="A59" s="255"/>
      <c r="B59" s="2"/>
      <c r="C59" s="115" t="s">
        <v>126</v>
      </c>
      <c r="D59" s="52">
        <f>99172.94/1000000</f>
        <v>0.09917294</v>
      </c>
      <c r="E59" s="8" t="s">
        <v>54</v>
      </c>
      <c r="F59" s="39">
        <f>4061.92/1000000+99172.94/1000000</f>
        <v>0.10323486</v>
      </c>
      <c r="G59" s="42">
        <f>4903132.56/1000000</f>
        <v>4.9031325599999995</v>
      </c>
      <c r="H59" s="42">
        <v>0</v>
      </c>
      <c r="I59" s="39">
        <v>0</v>
      </c>
      <c r="J59" s="39">
        <v>0</v>
      </c>
    </row>
    <row r="60" spans="1:10" ht="28.5">
      <c r="A60" s="96" t="s">
        <v>245</v>
      </c>
      <c r="B60" s="13"/>
      <c r="C60" s="115" t="s">
        <v>148</v>
      </c>
      <c r="D60" s="52">
        <v>0.108</v>
      </c>
      <c r="E60" s="8" t="s">
        <v>54</v>
      </c>
      <c r="F60" s="39">
        <f>1110.12/1000000+38488.55/1000000</f>
        <v>0.03959867</v>
      </c>
      <c r="G60" s="42">
        <f>1436630.17/1000000</f>
        <v>1.43663017</v>
      </c>
      <c r="H60" s="42">
        <v>0</v>
      </c>
      <c r="I60" s="39">
        <v>0</v>
      </c>
      <c r="J60" s="39">
        <v>0</v>
      </c>
    </row>
    <row r="61" spans="1:10" ht="28.5">
      <c r="A61" s="96" t="s">
        <v>147</v>
      </c>
      <c r="B61" s="13"/>
      <c r="C61" s="115" t="s">
        <v>149</v>
      </c>
      <c r="D61" s="52">
        <v>0.086</v>
      </c>
      <c r="E61" s="8" t="s">
        <v>54</v>
      </c>
      <c r="F61" s="39">
        <f>2449.4/1000000+85712.19/1000000</f>
        <v>0.08816159000000001</v>
      </c>
      <c r="G61" s="42">
        <f>4209507.62/1000000</f>
        <v>4.20950762</v>
      </c>
      <c r="H61" s="42">
        <v>0</v>
      </c>
      <c r="I61" s="39">
        <v>0</v>
      </c>
      <c r="J61" s="39">
        <v>0</v>
      </c>
    </row>
    <row r="62" spans="1:10" ht="28.5">
      <c r="A62" s="96" t="s">
        <v>246</v>
      </c>
      <c r="B62" s="13"/>
      <c r="C62" s="115" t="s">
        <v>154</v>
      </c>
      <c r="D62" s="52">
        <v>0.203</v>
      </c>
      <c r="E62" s="8" t="s">
        <v>54</v>
      </c>
      <c r="F62" s="39">
        <f>2286.64/1000000+42403.95/1000000</f>
        <v>0.044690589999999995</v>
      </c>
      <c r="G62" s="42">
        <f>2297466.28/1000000</f>
        <v>2.2974662799999996</v>
      </c>
      <c r="H62" s="42">
        <v>0</v>
      </c>
      <c r="I62" s="39">
        <v>0</v>
      </c>
      <c r="J62" s="39">
        <v>0</v>
      </c>
    </row>
    <row r="63" spans="1:10" ht="28.5">
      <c r="A63" s="96" t="s">
        <v>247</v>
      </c>
      <c r="B63" s="13"/>
      <c r="C63" s="115" t="s">
        <v>155</v>
      </c>
      <c r="D63" s="52">
        <v>1.045</v>
      </c>
      <c r="E63" s="8" t="s">
        <v>54</v>
      </c>
      <c r="F63" s="39">
        <f>31654.15/1000000+1045116.74/1000000</f>
        <v>1.0767708900000001</v>
      </c>
      <c r="G63" s="42">
        <f>51452093.31/1000000</f>
        <v>51.45209331</v>
      </c>
      <c r="H63" s="42">
        <v>0</v>
      </c>
      <c r="I63" s="39">
        <v>0</v>
      </c>
      <c r="J63" s="39">
        <v>0</v>
      </c>
    </row>
    <row r="64" spans="1:10" ht="28.5">
      <c r="A64" s="96" t="s">
        <v>248</v>
      </c>
      <c r="B64" s="13"/>
      <c r="C64" s="115" t="s">
        <v>156</v>
      </c>
      <c r="D64" s="52">
        <v>0.047</v>
      </c>
      <c r="E64" s="8" t="s">
        <v>54</v>
      </c>
      <c r="F64" s="39">
        <f>-366.71/1000000+9267.46/1000000</f>
        <v>0.00890075</v>
      </c>
      <c r="G64" s="42">
        <f>998174.39/1000000</f>
        <v>0.99817439</v>
      </c>
      <c r="H64" s="42">
        <v>0</v>
      </c>
      <c r="I64" s="39">
        <v>0</v>
      </c>
      <c r="J64" s="39">
        <v>0</v>
      </c>
    </row>
    <row r="65" spans="1:10" ht="28.5">
      <c r="A65" s="96" t="s">
        <v>249</v>
      </c>
      <c r="B65" s="13"/>
      <c r="C65" s="115" t="s">
        <v>157</v>
      </c>
      <c r="D65" s="52">
        <v>0.17</v>
      </c>
      <c r="E65" s="8" t="s">
        <v>54</v>
      </c>
      <c r="F65" s="39">
        <f>3294.1/1000000+169537.28/1000000</f>
        <v>0.17283138</v>
      </c>
      <c r="G65" s="42">
        <f>8325085.14/1000000</f>
        <v>8.32508514</v>
      </c>
      <c r="H65" s="42">
        <v>0</v>
      </c>
      <c r="I65" s="39">
        <v>0</v>
      </c>
      <c r="J65" s="39">
        <v>0</v>
      </c>
    </row>
    <row r="66" spans="1:10" ht="28.5">
      <c r="A66" s="97" t="s">
        <v>250</v>
      </c>
      <c r="B66" s="13"/>
      <c r="C66" s="115" t="s">
        <v>152</v>
      </c>
      <c r="D66" s="52">
        <v>0.207</v>
      </c>
      <c r="E66" s="8" t="s">
        <v>54</v>
      </c>
      <c r="F66" s="39">
        <f>7726.59/1000000+206787/1000000</f>
        <v>0.21451359</v>
      </c>
      <c r="G66" s="42">
        <f>10228486.53/1000000</f>
        <v>10.22848653</v>
      </c>
      <c r="H66" s="42">
        <v>0</v>
      </c>
      <c r="I66" s="39">
        <v>0</v>
      </c>
      <c r="J66" s="39">
        <v>0</v>
      </c>
    </row>
    <row r="67" spans="1:10" ht="28.5">
      <c r="A67" s="96" t="s">
        <v>251</v>
      </c>
      <c r="B67" s="13"/>
      <c r="C67" s="115" t="s">
        <v>159</v>
      </c>
      <c r="D67" s="52">
        <v>0.165</v>
      </c>
      <c r="E67" s="8" t="s">
        <v>54</v>
      </c>
      <c r="F67" s="39">
        <f>5767.56/1000000+165054.97/1000000</f>
        <v>0.17082253</v>
      </c>
      <c r="G67" s="42">
        <f>6485079.83/1000000</f>
        <v>6.48507983</v>
      </c>
      <c r="H67" s="42">
        <v>0</v>
      </c>
      <c r="I67" s="39">
        <v>0</v>
      </c>
      <c r="J67" s="39">
        <v>0</v>
      </c>
    </row>
    <row r="68" spans="1:10" ht="28.5">
      <c r="A68" s="96" t="s">
        <v>252</v>
      </c>
      <c r="B68" s="13"/>
      <c r="C68" s="115" t="s">
        <v>160</v>
      </c>
      <c r="D68" s="52">
        <v>0.591</v>
      </c>
      <c r="E68" s="8" t="s">
        <v>54</v>
      </c>
      <c r="F68" s="39">
        <f>13510.24/1000000+590726.82/1000000</f>
        <v>0.60423706</v>
      </c>
      <c r="G68" s="42">
        <f>22466530.05/1000000</f>
        <v>22.46653005</v>
      </c>
      <c r="H68" s="42">
        <v>0</v>
      </c>
      <c r="I68" s="39">
        <v>0</v>
      </c>
      <c r="J68" s="39">
        <v>0</v>
      </c>
    </row>
    <row r="69" spans="1:10" ht="28.5">
      <c r="A69" s="96" t="s">
        <v>253</v>
      </c>
      <c r="B69" s="13"/>
      <c r="C69" s="115" t="s">
        <v>151</v>
      </c>
      <c r="D69" s="52">
        <v>0.111</v>
      </c>
      <c r="E69" s="8" t="s">
        <v>54</v>
      </c>
      <c r="F69" s="39">
        <f>3820.82/1000000+90056/1000000</f>
        <v>0.09387682</v>
      </c>
      <c r="G69" s="42">
        <f>4745812.77/1000000</f>
        <v>4.74581277</v>
      </c>
      <c r="H69" s="42">
        <v>0</v>
      </c>
      <c r="I69" s="39">
        <v>0</v>
      </c>
      <c r="J69" s="39">
        <v>0</v>
      </c>
    </row>
    <row r="70" spans="1:10" ht="28.5">
      <c r="A70" s="96" t="s">
        <v>255</v>
      </c>
      <c r="B70" s="13"/>
      <c r="C70" s="115" t="s">
        <v>150</v>
      </c>
      <c r="D70" s="52">
        <v>0.53</v>
      </c>
      <c r="E70" s="8" t="s">
        <v>54</v>
      </c>
      <c r="F70" s="39">
        <f>17420.4/1000000+530005.02/1000000</f>
        <v>0.54742542</v>
      </c>
      <c r="G70" s="42">
        <f>20211286.02/1000000</f>
        <v>20.21128602</v>
      </c>
      <c r="H70" s="42">
        <v>0</v>
      </c>
      <c r="I70" s="39">
        <v>0</v>
      </c>
      <c r="J70" s="39">
        <v>0</v>
      </c>
    </row>
    <row r="71" spans="1:10" ht="28.5">
      <c r="A71" s="88" t="s">
        <v>169</v>
      </c>
      <c r="B71" s="2"/>
      <c r="C71" s="115" t="s">
        <v>168</v>
      </c>
      <c r="D71" s="42">
        <f>254088.34/1000000</f>
        <v>0.25408834</v>
      </c>
      <c r="E71" s="8" t="s">
        <v>54</v>
      </c>
      <c r="F71" s="158">
        <f>51910.68/1000000</f>
        <v>0.05191068</v>
      </c>
      <c r="G71" s="50">
        <f>204474.5/1000000</f>
        <v>0.2044745</v>
      </c>
      <c r="H71" s="75">
        <v>0</v>
      </c>
      <c r="I71" s="206">
        <v>0</v>
      </c>
      <c r="J71" s="135">
        <v>0</v>
      </c>
    </row>
    <row r="72" spans="1:10" ht="28.5">
      <c r="A72" s="88" t="s">
        <v>166</v>
      </c>
      <c r="B72" s="2"/>
      <c r="C72" s="115" t="s">
        <v>167</v>
      </c>
      <c r="D72" s="42">
        <f>877965.54/1000000</f>
        <v>0.87796554</v>
      </c>
      <c r="E72" s="8" t="s">
        <v>54</v>
      </c>
      <c r="F72" s="158">
        <f>914667.26/1000000</f>
        <v>0.91466726</v>
      </c>
      <c r="G72" s="42">
        <f>4813125.97/1000000</f>
        <v>4.81312597</v>
      </c>
      <c r="H72" s="75">
        <v>0</v>
      </c>
      <c r="I72" s="206">
        <v>0</v>
      </c>
      <c r="J72" s="135">
        <v>0</v>
      </c>
    </row>
    <row r="73" spans="1:10" ht="28.5">
      <c r="A73" s="96" t="s">
        <v>256</v>
      </c>
      <c r="B73" s="13"/>
      <c r="C73" s="115" t="s">
        <v>161</v>
      </c>
      <c r="D73" s="52">
        <v>0.275</v>
      </c>
      <c r="E73" s="8" t="s">
        <v>54</v>
      </c>
      <c r="F73" s="39">
        <f>287598.55/1000000</f>
        <v>0.28759855</v>
      </c>
      <c r="G73" s="42">
        <f>1211906.95/1000000</f>
        <v>1.21190695</v>
      </c>
      <c r="H73" s="42">
        <v>0</v>
      </c>
      <c r="I73" s="39">
        <v>0</v>
      </c>
      <c r="J73" s="39">
        <v>0</v>
      </c>
    </row>
    <row r="74" spans="1:10" ht="28.5">
      <c r="A74" s="96" t="s">
        <v>163</v>
      </c>
      <c r="B74" s="13"/>
      <c r="C74" s="115" t="s">
        <v>165</v>
      </c>
      <c r="D74" s="52">
        <f>301054.42/1000000</f>
        <v>0.30105442</v>
      </c>
      <c r="E74" s="8" t="s">
        <v>54</v>
      </c>
      <c r="F74" s="157">
        <f>287454.42/1000000</f>
        <v>0.28745442</v>
      </c>
      <c r="G74" s="42">
        <f>349697.79/1000000</f>
        <v>0.34969778999999995</v>
      </c>
      <c r="H74" s="42">
        <v>0</v>
      </c>
      <c r="I74" s="205">
        <v>0</v>
      </c>
      <c r="J74" s="129">
        <v>0</v>
      </c>
    </row>
    <row r="75" spans="1:10" ht="28.5">
      <c r="A75" s="96" t="s">
        <v>170</v>
      </c>
      <c r="B75" s="13"/>
      <c r="C75" s="115" t="s">
        <v>153</v>
      </c>
      <c r="D75" s="52">
        <f>103746.47/1000000</f>
        <v>0.10374647000000001</v>
      </c>
      <c r="E75" s="8" t="s">
        <v>54</v>
      </c>
      <c r="F75" s="157">
        <f>101112.25/1000000</f>
        <v>0.10111225</v>
      </c>
      <c r="G75" s="42">
        <f>131037.96/1000000</f>
        <v>0.13103796</v>
      </c>
      <c r="H75" s="42">
        <v>0</v>
      </c>
      <c r="I75" s="205">
        <v>0</v>
      </c>
      <c r="J75" s="129">
        <v>0</v>
      </c>
    </row>
    <row r="76" spans="1:10" ht="28.5">
      <c r="A76" s="96" t="s">
        <v>171</v>
      </c>
      <c r="B76" s="13"/>
      <c r="C76" s="115" t="s">
        <v>164</v>
      </c>
      <c r="D76" s="52">
        <f>758195.88/1000000</f>
        <v>0.75819588</v>
      </c>
      <c r="E76" s="8" t="s">
        <v>54</v>
      </c>
      <c r="F76" s="157">
        <f>698712.41/1000000</f>
        <v>0.6987124100000001</v>
      </c>
      <c r="G76" s="42">
        <v>0</v>
      </c>
      <c r="H76" s="42">
        <v>0</v>
      </c>
      <c r="I76" s="205">
        <v>0</v>
      </c>
      <c r="J76" s="129">
        <v>0</v>
      </c>
    </row>
    <row r="77" spans="1:10" ht="28.5">
      <c r="A77" s="96" t="s">
        <v>172</v>
      </c>
      <c r="B77" s="13"/>
      <c r="C77" s="115" t="s">
        <v>176</v>
      </c>
      <c r="D77" s="52">
        <f>90490/1000000</f>
        <v>0.09049</v>
      </c>
      <c r="E77" s="8" t="s">
        <v>54</v>
      </c>
      <c r="F77" s="157">
        <f>1719.65/1000000</f>
        <v>0.00171965</v>
      </c>
      <c r="G77" s="42">
        <f>597.47/1000000</f>
        <v>0.00059747</v>
      </c>
      <c r="H77" s="42">
        <v>0</v>
      </c>
      <c r="I77" s="205">
        <v>0</v>
      </c>
      <c r="J77" s="129">
        <v>0</v>
      </c>
    </row>
    <row r="78" spans="1:11" s="71" customFormat="1" ht="28.5">
      <c r="A78" s="96" t="s">
        <v>173</v>
      </c>
      <c r="B78" s="13"/>
      <c r="C78" s="115" t="s">
        <v>177</v>
      </c>
      <c r="D78" s="52">
        <f>349360.36/1000000</f>
        <v>0.34936036</v>
      </c>
      <c r="E78" s="8" t="s">
        <v>54</v>
      </c>
      <c r="F78" s="157">
        <f>360035/1000000</f>
        <v>0.360035</v>
      </c>
      <c r="G78" s="42">
        <f>1251832.7/1000000</f>
        <v>1.2518327</v>
      </c>
      <c r="H78" s="42">
        <v>0</v>
      </c>
      <c r="I78" s="205">
        <v>0</v>
      </c>
      <c r="J78" s="129">
        <v>0</v>
      </c>
      <c r="K78" s="167"/>
    </row>
    <row r="79" spans="1:10" ht="28.5">
      <c r="A79" s="96" t="s">
        <v>174</v>
      </c>
      <c r="B79" s="13"/>
      <c r="C79" s="115" t="s">
        <v>175</v>
      </c>
      <c r="D79" s="52">
        <f>199992.16/1000000</f>
        <v>0.19999216</v>
      </c>
      <c r="E79" s="8" t="s">
        <v>54</v>
      </c>
      <c r="F79" s="157">
        <f>182205.58/1000000</f>
        <v>0.18220557999999998</v>
      </c>
      <c r="G79" s="42">
        <v>0</v>
      </c>
      <c r="H79" s="42">
        <v>0</v>
      </c>
      <c r="I79" s="205">
        <v>0</v>
      </c>
      <c r="J79" s="129">
        <v>0</v>
      </c>
    </row>
    <row r="80" spans="1:10" ht="28.5">
      <c r="A80" s="96" t="s">
        <v>392</v>
      </c>
      <c r="B80" s="13"/>
      <c r="C80" s="115" t="s">
        <v>158</v>
      </c>
      <c r="D80" s="52">
        <v>0.135</v>
      </c>
      <c r="E80" s="8" t="s">
        <v>54</v>
      </c>
      <c r="F80" s="39">
        <f>140053.54/1000000</f>
        <v>0.14005354</v>
      </c>
      <c r="G80" s="42">
        <f>709442.07/1000000</f>
        <v>0.7094420699999999</v>
      </c>
      <c r="H80" s="42">
        <v>0</v>
      </c>
      <c r="I80" s="39">
        <v>0</v>
      </c>
      <c r="J80" s="39">
        <v>0</v>
      </c>
    </row>
    <row r="81" spans="1:10" ht="28.5">
      <c r="A81" s="96" t="s">
        <v>254</v>
      </c>
      <c r="B81" s="13"/>
      <c r="C81" s="115" t="s">
        <v>162</v>
      </c>
      <c r="D81" s="52">
        <v>0.379</v>
      </c>
      <c r="E81" s="8" t="s">
        <v>54</v>
      </c>
      <c r="F81" s="39">
        <f>394026.06/1000000</f>
        <v>0.39402606</v>
      </c>
      <c r="G81" s="42">
        <f>2018198.46/1000000</f>
        <v>2.01819846</v>
      </c>
      <c r="H81" s="42">
        <v>0</v>
      </c>
      <c r="I81" s="39">
        <v>0</v>
      </c>
      <c r="J81" s="39">
        <v>0</v>
      </c>
    </row>
    <row r="82" spans="1:10" ht="69.75" customHeight="1">
      <c r="A82" s="87" t="s">
        <v>0</v>
      </c>
      <c r="B82" s="14" t="s">
        <v>112</v>
      </c>
      <c r="C82" s="115" t="s">
        <v>273</v>
      </c>
      <c r="D82" s="42">
        <f>(113.022936/6.55957)*K6</f>
        <v>18.352764494144612</v>
      </c>
      <c r="E82" s="4" t="s">
        <v>113</v>
      </c>
      <c r="F82" s="39">
        <f>(19405179.41*K6)/1000000</f>
        <v>20.669403346010238</v>
      </c>
      <c r="G82" s="43">
        <v>0</v>
      </c>
      <c r="H82" s="42">
        <f>209077934.62/1000000</f>
        <v>209.07793462</v>
      </c>
      <c r="I82" s="39">
        <v>0</v>
      </c>
      <c r="J82" s="39">
        <v>0</v>
      </c>
    </row>
    <row r="83" spans="1:10" ht="28.5">
      <c r="A83" s="98" t="s">
        <v>10</v>
      </c>
      <c r="B83" s="13"/>
      <c r="C83" s="115" t="s">
        <v>90</v>
      </c>
      <c r="D83" s="38">
        <f>300/K8</f>
        <v>8.203759509524565</v>
      </c>
      <c r="E83" s="2"/>
      <c r="F83" s="39">
        <f>2129.0538496/K8</f>
        <v>58.22081921648627</v>
      </c>
      <c r="G83" s="42">
        <f>9635453.26/1000000</f>
        <v>9.63545326</v>
      </c>
      <c r="H83" s="38">
        <v>0</v>
      </c>
      <c r="I83" s="39">
        <v>0</v>
      </c>
      <c r="J83" s="39">
        <v>0</v>
      </c>
    </row>
    <row r="84" spans="1:10" ht="51">
      <c r="A84" s="252" t="s">
        <v>235</v>
      </c>
      <c r="B84" s="262" t="s">
        <v>230</v>
      </c>
      <c r="C84" s="16" t="s">
        <v>231</v>
      </c>
      <c r="D84" s="53">
        <v>4.015</v>
      </c>
      <c r="E84" s="271" t="s">
        <v>233</v>
      </c>
      <c r="F84" s="39">
        <v>0.985</v>
      </c>
      <c r="G84" s="42">
        <v>12.613</v>
      </c>
      <c r="H84" s="60">
        <v>0</v>
      </c>
      <c r="I84" s="39">
        <v>0</v>
      </c>
      <c r="J84" s="39">
        <v>0</v>
      </c>
    </row>
    <row r="85" spans="1:10" ht="25.5">
      <c r="A85" s="253"/>
      <c r="B85" s="263"/>
      <c r="C85" s="16" t="s">
        <v>232</v>
      </c>
      <c r="D85" s="53">
        <v>7.71968128</v>
      </c>
      <c r="E85" s="272"/>
      <c r="F85" s="39">
        <v>1.479</v>
      </c>
      <c r="G85" s="42">
        <v>14.851</v>
      </c>
      <c r="H85" s="48">
        <v>0</v>
      </c>
      <c r="I85" s="39">
        <v>0</v>
      </c>
      <c r="J85" s="39">
        <v>0</v>
      </c>
    </row>
    <row r="86" spans="1:10" ht="15">
      <c r="A86" s="99" t="s">
        <v>428</v>
      </c>
      <c r="B86" s="115"/>
      <c r="C86" s="19" t="s">
        <v>413</v>
      </c>
      <c r="D86" s="42"/>
      <c r="E86" s="3"/>
      <c r="F86" s="39">
        <v>0</v>
      </c>
      <c r="G86" s="42">
        <v>0</v>
      </c>
      <c r="H86" s="113">
        <v>0</v>
      </c>
      <c r="I86" s="39">
        <f>150.50205+134.9883</f>
        <v>285.49035000000003</v>
      </c>
      <c r="J86" s="39">
        <f>138354300/1000000+171264600/1000000</f>
        <v>309.6189</v>
      </c>
    </row>
    <row r="87" spans="1:10" ht="33.75" customHeight="1">
      <c r="A87" s="101" t="s">
        <v>206</v>
      </c>
      <c r="B87" s="16" t="s">
        <v>207</v>
      </c>
      <c r="C87" s="16" t="s">
        <v>208</v>
      </c>
      <c r="D87" s="40">
        <v>24.25</v>
      </c>
      <c r="E87" s="5" t="s">
        <v>209</v>
      </c>
      <c r="F87" s="39">
        <v>0</v>
      </c>
      <c r="G87" s="42">
        <v>0</v>
      </c>
      <c r="H87" s="42">
        <v>18.196</v>
      </c>
      <c r="I87" s="39">
        <f>32656632.5/1000000</f>
        <v>32.6566325</v>
      </c>
      <c r="J87" s="39">
        <v>0</v>
      </c>
    </row>
    <row r="88" spans="1:10" ht="15">
      <c r="A88" s="256" t="s">
        <v>306</v>
      </c>
      <c r="B88" s="20"/>
      <c r="C88" s="16" t="s">
        <v>307</v>
      </c>
      <c r="D88" s="40"/>
      <c r="E88" s="5"/>
      <c r="F88" s="39">
        <v>-0.01</v>
      </c>
      <c r="G88" s="61">
        <v>0</v>
      </c>
      <c r="H88" s="55">
        <v>0</v>
      </c>
      <c r="I88" s="39">
        <v>0</v>
      </c>
      <c r="J88" s="39">
        <v>0</v>
      </c>
    </row>
    <row r="89" spans="1:10" ht="15">
      <c r="A89" s="258"/>
      <c r="B89" s="190"/>
      <c r="C89" s="16" t="s">
        <v>351</v>
      </c>
      <c r="D89" s="53"/>
      <c r="E89" s="191"/>
      <c r="F89" s="41">
        <v>-0.003</v>
      </c>
      <c r="G89" s="192">
        <v>0</v>
      </c>
      <c r="H89" s="193">
        <v>0</v>
      </c>
      <c r="I89" s="41">
        <v>0</v>
      </c>
      <c r="J89" s="41">
        <v>0</v>
      </c>
    </row>
    <row r="90" spans="1:10" ht="15">
      <c r="A90" s="104" t="s">
        <v>388</v>
      </c>
      <c r="B90" s="20"/>
      <c r="C90" s="16" t="s">
        <v>354</v>
      </c>
      <c r="D90" s="40"/>
      <c r="E90" s="5"/>
      <c r="F90" s="39">
        <v>0</v>
      </c>
      <c r="G90" s="61">
        <v>0</v>
      </c>
      <c r="H90" s="55">
        <v>0</v>
      </c>
      <c r="I90" s="39">
        <v>0</v>
      </c>
      <c r="J90" s="39">
        <f>5374040.9/1000000</f>
        <v>5.374040900000001</v>
      </c>
    </row>
    <row r="91" spans="1:11" s="195" customFormat="1" ht="15">
      <c r="A91" s="101" t="s">
        <v>188</v>
      </c>
      <c r="B91" s="13"/>
      <c r="C91" s="19" t="s">
        <v>187</v>
      </c>
      <c r="D91" s="38"/>
      <c r="E91" s="3"/>
      <c r="F91" s="39">
        <v>2.873</v>
      </c>
      <c r="G91" s="42">
        <v>26.714</v>
      </c>
      <c r="H91" s="38">
        <v>0</v>
      </c>
      <c r="I91" s="39">
        <f>6515.1/1000000+40606.14/1000000</f>
        <v>0.04712124</v>
      </c>
      <c r="J91" s="39">
        <v>0</v>
      </c>
      <c r="K91" s="194"/>
    </row>
    <row r="92" spans="1:10" ht="28.5">
      <c r="A92" s="101" t="s">
        <v>370</v>
      </c>
      <c r="B92" s="17"/>
      <c r="C92" s="5" t="s">
        <v>186</v>
      </c>
      <c r="D92" s="56"/>
      <c r="E92" s="18"/>
      <c r="F92" s="161">
        <v>0.57</v>
      </c>
      <c r="G92" s="125">
        <v>12.352</v>
      </c>
      <c r="H92" s="58">
        <v>0</v>
      </c>
      <c r="I92" s="41">
        <f>0.2+0.3+0.5</f>
        <v>1</v>
      </c>
      <c r="J92" s="41">
        <f>1362052.25/1000000+1362052.25/1000000+1362052.25/1000000+682026.13/1000000+30000000/1000000</f>
        <v>34.76818288</v>
      </c>
    </row>
    <row r="93" spans="1:10" ht="15">
      <c r="A93" s="101" t="s">
        <v>190</v>
      </c>
      <c r="B93" s="13"/>
      <c r="C93" s="19" t="s">
        <v>189</v>
      </c>
      <c r="D93" s="38"/>
      <c r="E93" s="3"/>
      <c r="F93" s="39">
        <v>0</v>
      </c>
      <c r="G93" s="42">
        <v>0</v>
      </c>
      <c r="H93" s="38">
        <v>0</v>
      </c>
      <c r="I93" s="39">
        <f>1.971578+1.393829+1.803926+1.30283362+1.372765+1.359331+1.34314+1.33872</f>
        <v>11.88612262</v>
      </c>
      <c r="J93" s="39">
        <f>3.2+1.462745+2.01778447+7.31372</f>
        <v>13.99424947</v>
      </c>
    </row>
    <row r="94" spans="1:10" ht="15">
      <c r="A94" s="93" t="s">
        <v>13</v>
      </c>
      <c r="B94" s="13"/>
      <c r="C94" s="19" t="s">
        <v>192</v>
      </c>
      <c r="D94" s="38"/>
      <c r="E94" s="3"/>
      <c r="F94" s="39">
        <v>0.006</v>
      </c>
      <c r="G94" s="42">
        <v>0</v>
      </c>
      <c r="H94" s="38">
        <v>0</v>
      </c>
      <c r="I94" s="39">
        <v>0</v>
      </c>
      <c r="J94" s="39">
        <v>0</v>
      </c>
    </row>
    <row r="95" spans="1:10" ht="15">
      <c r="A95" s="101" t="s">
        <v>368</v>
      </c>
      <c r="B95" s="13"/>
      <c r="C95" s="19" t="s">
        <v>191</v>
      </c>
      <c r="D95" s="38"/>
      <c r="E95" s="3"/>
      <c r="F95" s="39">
        <v>0.041</v>
      </c>
      <c r="G95" s="42">
        <v>0</v>
      </c>
      <c r="H95" s="38">
        <v>0</v>
      </c>
      <c r="I95" s="39">
        <v>0</v>
      </c>
      <c r="J95" s="39">
        <v>0</v>
      </c>
    </row>
    <row r="96" spans="1:10" ht="28.5">
      <c r="A96" s="102" t="s">
        <v>241</v>
      </c>
      <c r="B96" s="16"/>
      <c r="C96" s="16" t="s">
        <v>242</v>
      </c>
      <c r="D96" s="53"/>
      <c r="E96" s="5"/>
      <c r="F96" s="39">
        <v>0.16</v>
      </c>
      <c r="G96" s="120">
        <v>-0.017</v>
      </c>
      <c r="H96" s="120">
        <v>0</v>
      </c>
      <c r="I96" s="57">
        <f>2172769.43/1000000+2.07792681</f>
        <v>4.25069624</v>
      </c>
      <c r="J96" s="39">
        <v>0</v>
      </c>
    </row>
    <row r="97" spans="1:10" ht="15">
      <c r="A97" s="101" t="s">
        <v>193</v>
      </c>
      <c r="B97" s="13"/>
      <c r="C97" s="19" t="s">
        <v>194</v>
      </c>
      <c r="D97" s="38"/>
      <c r="E97" s="3"/>
      <c r="F97" s="39">
        <v>3.605</v>
      </c>
      <c r="G97" s="38">
        <v>40.888</v>
      </c>
      <c r="H97" s="54">
        <v>0</v>
      </c>
      <c r="I97" s="39">
        <f>0.62069682+4.87769669+0.372891+4.57530359+1.02968731+0.51697289+0.86968254+0.91997072+0.82441363</f>
        <v>14.60731519</v>
      </c>
      <c r="J97" s="39">
        <f>2342489.9/1000000+397098.05/1000000+180722.07/1000000+8893.96/1000000+14427.72/1000000</f>
        <v>2.9436316999999996</v>
      </c>
    </row>
    <row r="98" spans="1:10" ht="15">
      <c r="A98" s="102" t="s">
        <v>365</v>
      </c>
      <c r="B98" s="16"/>
      <c r="C98" s="16" t="s">
        <v>195</v>
      </c>
      <c r="D98" s="38"/>
      <c r="E98" s="3"/>
      <c r="F98" s="39">
        <v>0</v>
      </c>
      <c r="G98" s="58">
        <v>-0.301</v>
      </c>
      <c r="H98" s="54">
        <v>0</v>
      </c>
      <c r="I98" s="39">
        <f>4764855.99/1000000+4.45633328</f>
        <v>9.22118927</v>
      </c>
      <c r="J98" s="39">
        <f>4975634.48/1000000+6219538.85/1000000</f>
        <v>11.19517333</v>
      </c>
    </row>
    <row r="99" spans="1:10" ht="15">
      <c r="A99" s="233" t="s">
        <v>196</v>
      </c>
      <c r="B99" s="21"/>
      <c r="C99" s="16" t="s">
        <v>197</v>
      </c>
      <c r="D99" s="52"/>
      <c r="E99" s="3"/>
      <c r="F99" s="39">
        <v>0.867</v>
      </c>
      <c r="G99" s="58">
        <v>10.81</v>
      </c>
      <c r="H99" s="54">
        <v>0</v>
      </c>
      <c r="I99" s="230">
        <f>0.95800616+2.04400614+1.65001192+1.35000703+1.5000039+1.50000494+0.80000545+0.70000075+1.00000606+0.50000127+2.30001085+2.39007523+0.40001414+2.60004959+3.00392047+1.4000066+1.60003815+2.00063732+1.0000238+0.90000342+2.10007864</f>
        <v>31.69691183</v>
      </c>
      <c r="J99" s="230">
        <f>2.00005363+0.50005055+0.41970576+2.58035245+1.34394942+2.0000405+1.00002025+0.21738366+3.30006423+0.50000247+3.00001481+2.30005525+819271.6/1000000</f>
        <v>19.98096458</v>
      </c>
    </row>
    <row r="100" spans="1:10" ht="15">
      <c r="A100" s="234"/>
      <c r="B100" s="21"/>
      <c r="C100" s="16" t="s">
        <v>198</v>
      </c>
      <c r="D100" s="52"/>
      <c r="E100" s="3"/>
      <c r="F100" s="39">
        <v>1.308</v>
      </c>
      <c r="G100" s="58">
        <v>15.801</v>
      </c>
      <c r="H100" s="54">
        <v>0</v>
      </c>
      <c r="I100" s="232"/>
      <c r="J100" s="232"/>
    </row>
    <row r="101" spans="1:11" ht="15">
      <c r="A101" s="252" t="s">
        <v>199</v>
      </c>
      <c r="B101" s="16"/>
      <c r="C101" s="137" t="s">
        <v>344</v>
      </c>
      <c r="D101" s="38"/>
      <c r="E101" s="19"/>
      <c r="F101" s="49">
        <v>0.529</v>
      </c>
      <c r="G101" s="42">
        <v>0.606</v>
      </c>
      <c r="H101" s="38">
        <v>0</v>
      </c>
      <c r="I101" s="39">
        <f>0.1+0.1+0.2+0.5+0.00743391</f>
        <v>0.9074339100000001</v>
      </c>
      <c r="J101" s="39">
        <f>7433.9/1000000</f>
        <v>0.007433899999999999</v>
      </c>
      <c r="K101" s="170"/>
    </row>
    <row r="102" spans="1:11" ht="15">
      <c r="A102" s="253"/>
      <c r="B102" s="16"/>
      <c r="C102" s="16" t="s">
        <v>200</v>
      </c>
      <c r="D102" s="52"/>
      <c r="E102" s="3"/>
      <c r="F102" s="39">
        <v>0.463</v>
      </c>
      <c r="G102" s="124">
        <v>1.344</v>
      </c>
      <c r="H102" s="58">
        <v>0</v>
      </c>
      <c r="I102" s="39">
        <f>0.23+0.3+1.93573206+0.69260218</f>
        <v>3.1583342400000003</v>
      </c>
      <c r="J102" s="39">
        <f>1373129.85/1000000</f>
        <v>1.37312985</v>
      </c>
      <c r="K102" s="170"/>
    </row>
    <row r="103" spans="1:10" ht="15">
      <c r="A103" s="256" t="s">
        <v>310</v>
      </c>
      <c r="B103" s="16"/>
      <c r="C103" s="16" t="s">
        <v>311</v>
      </c>
      <c r="D103" s="42"/>
      <c r="E103" s="8"/>
      <c r="F103" s="49">
        <v>0.968</v>
      </c>
      <c r="G103" s="42">
        <v>0.181</v>
      </c>
      <c r="H103" s="42">
        <v>0</v>
      </c>
      <c r="I103" s="39">
        <f>3.182052</f>
        <v>3.182052</v>
      </c>
      <c r="J103" s="39">
        <f>1178423.06/1000000+292549/1000000</f>
        <v>1.47097206</v>
      </c>
    </row>
    <row r="104" spans="1:10" ht="15">
      <c r="A104" s="258"/>
      <c r="B104" s="16"/>
      <c r="C104" s="16" t="s">
        <v>312</v>
      </c>
      <c r="D104" s="42"/>
      <c r="E104" s="8"/>
      <c r="F104" s="49">
        <v>0</v>
      </c>
      <c r="G104" s="42">
        <v>0</v>
      </c>
      <c r="H104" s="42">
        <v>0</v>
      </c>
      <c r="I104" s="39">
        <v>0</v>
      </c>
      <c r="J104" s="39">
        <v>0</v>
      </c>
    </row>
    <row r="105" spans="1:10" ht="15">
      <c r="A105" s="152" t="s">
        <v>362</v>
      </c>
      <c r="B105" s="16"/>
      <c r="C105" s="16" t="s">
        <v>345</v>
      </c>
      <c r="D105" s="42"/>
      <c r="E105" s="8"/>
      <c r="F105" s="49">
        <v>0</v>
      </c>
      <c r="G105" s="42">
        <v>0</v>
      </c>
      <c r="H105" s="42">
        <v>0</v>
      </c>
      <c r="I105" s="39">
        <f>0.09396316+0.09294141</f>
        <v>0.18690457</v>
      </c>
      <c r="J105" s="39">
        <f>101135.65/1000000+126419.48/1000000</f>
        <v>0.22755513</v>
      </c>
    </row>
    <row r="106" spans="1:10" ht="28.5">
      <c r="A106" s="227" t="s">
        <v>369</v>
      </c>
      <c r="B106" s="16"/>
      <c r="C106" s="137" t="s">
        <v>313</v>
      </c>
      <c r="D106" s="38"/>
      <c r="E106" s="19"/>
      <c r="F106" s="49">
        <v>0</v>
      </c>
      <c r="G106" s="38">
        <v>0</v>
      </c>
      <c r="H106" s="38">
        <v>0</v>
      </c>
      <c r="I106" s="39">
        <f>0.8414232+0.83909798</f>
        <v>1.68052118</v>
      </c>
      <c r="J106" s="39">
        <f>2092544.88/1000000</f>
        <v>2.0925448799999997</v>
      </c>
    </row>
    <row r="107" spans="1:10" ht="15">
      <c r="A107" s="286" t="s">
        <v>314</v>
      </c>
      <c r="B107" s="16"/>
      <c r="C107" s="137" t="s">
        <v>315</v>
      </c>
      <c r="D107" s="38"/>
      <c r="E107" s="19"/>
      <c r="F107" s="49">
        <v>1.692</v>
      </c>
      <c r="G107" s="38">
        <v>0.141</v>
      </c>
      <c r="H107" s="38">
        <v>0</v>
      </c>
      <c r="I107" s="39">
        <f>8.89726492+13.41474207+12.04524394</f>
        <v>34.35725093</v>
      </c>
      <c r="J107" s="39">
        <f>3978666.4/1000000</f>
        <v>3.9786664</v>
      </c>
    </row>
    <row r="108" spans="1:10" ht="15">
      <c r="A108" s="252" t="s">
        <v>316</v>
      </c>
      <c r="B108" s="16"/>
      <c r="C108" s="137" t="s">
        <v>317</v>
      </c>
      <c r="D108" s="38"/>
      <c r="E108" s="19"/>
      <c r="F108" s="49">
        <v>1.036</v>
      </c>
      <c r="G108" s="38">
        <v>1.652</v>
      </c>
      <c r="H108" s="38">
        <v>0</v>
      </c>
      <c r="I108" s="39">
        <f>4.653601+6.84318199+0.25907346+19.85832907</f>
        <v>31.61418552</v>
      </c>
      <c r="J108" s="39">
        <f>2.71347982+3.95630257+16.75693307+27918585.83/1000000</f>
        <v>51.345301289999995</v>
      </c>
    </row>
    <row r="109" spans="1:10" ht="15">
      <c r="A109" s="253"/>
      <c r="B109" s="16"/>
      <c r="C109" s="137" t="s">
        <v>318</v>
      </c>
      <c r="D109" s="38"/>
      <c r="E109" s="19"/>
      <c r="F109" s="49">
        <v>0.009</v>
      </c>
      <c r="G109" s="38">
        <v>0.014</v>
      </c>
      <c r="H109" s="38">
        <v>0</v>
      </c>
      <c r="I109" s="39">
        <v>0</v>
      </c>
      <c r="J109" s="39">
        <v>0</v>
      </c>
    </row>
    <row r="110" spans="1:11" s="174" customFormat="1" ht="15">
      <c r="A110" s="286" t="s">
        <v>319</v>
      </c>
      <c r="B110" s="218"/>
      <c r="C110" s="137" t="s">
        <v>320</v>
      </c>
      <c r="D110" s="38"/>
      <c r="E110" s="219"/>
      <c r="F110" s="49">
        <v>0</v>
      </c>
      <c r="G110" s="38">
        <v>0</v>
      </c>
      <c r="H110" s="38">
        <v>0</v>
      </c>
      <c r="I110" s="39">
        <f>11.06023227+39.54935756+47.54454314+16.02341236+81.15691767</f>
        <v>195.334463</v>
      </c>
      <c r="J110" s="39">
        <f>30000024.64/1000000+57165417.11/1000000+9132276.48/1000000+42130172.11/1000000+61706361.02/1000000</f>
        <v>200.13425136</v>
      </c>
      <c r="K110" s="167"/>
    </row>
    <row r="111" spans="1:11" s="71" customFormat="1" ht="15">
      <c r="A111" s="252" t="s">
        <v>321</v>
      </c>
      <c r="B111" s="218"/>
      <c r="C111" s="137" t="s">
        <v>322</v>
      </c>
      <c r="D111" s="38"/>
      <c r="E111" s="219"/>
      <c r="F111" s="49">
        <v>0.554</v>
      </c>
      <c r="G111" s="38">
        <v>2.063</v>
      </c>
      <c r="H111" s="38">
        <v>0</v>
      </c>
      <c r="I111" s="39">
        <f>6234.27/1000000+3100.17/1000000+19.85963376+2.74241176+4.84758824</f>
        <v>27.4589682</v>
      </c>
      <c r="J111" s="39">
        <v>0</v>
      </c>
      <c r="K111" s="167"/>
    </row>
    <row r="112" spans="1:11" s="174" customFormat="1" ht="15">
      <c r="A112" s="253"/>
      <c r="B112" s="218"/>
      <c r="C112" s="137" t="s">
        <v>323</v>
      </c>
      <c r="D112" s="38"/>
      <c r="E112" s="219"/>
      <c r="F112" s="49">
        <v>0.002</v>
      </c>
      <c r="G112" s="38">
        <v>0</v>
      </c>
      <c r="H112" s="38">
        <v>0</v>
      </c>
      <c r="I112" s="39">
        <v>0</v>
      </c>
      <c r="J112" s="39">
        <v>0</v>
      </c>
      <c r="K112" s="167"/>
    </row>
    <row r="113" spans="1:11" s="174" customFormat="1" ht="15">
      <c r="A113" s="286" t="s">
        <v>324</v>
      </c>
      <c r="B113" s="218"/>
      <c r="C113" s="137" t="s">
        <v>325</v>
      </c>
      <c r="D113" s="38"/>
      <c r="E113" s="219"/>
      <c r="F113" s="49">
        <v>4.972</v>
      </c>
      <c r="G113" s="38">
        <v>15.328</v>
      </c>
      <c r="H113" s="38">
        <v>0</v>
      </c>
      <c r="I113" s="39">
        <f>5.58362359+1.27446753</f>
        <v>6.85809112</v>
      </c>
      <c r="J113" s="39">
        <v>0</v>
      </c>
      <c r="K113" s="167"/>
    </row>
    <row r="114" spans="1:11" s="174" customFormat="1" ht="15">
      <c r="A114" s="252" t="s">
        <v>204</v>
      </c>
      <c r="B114" s="218"/>
      <c r="C114" s="137" t="s">
        <v>326</v>
      </c>
      <c r="D114" s="38"/>
      <c r="E114" s="219"/>
      <c r="F114" s="49">
        <v>0.025</v>
      </c>
      <c r="G114" s="38">
        <v>0.004</v>
      </c>
      <c r="H114" s="38">
        <v>0</v>
      </c>
      <c r="I114" s="39">
        <v>0</v>
      </c>
      <c r="J114" s="39">
        <v>0</v>
      </c>
      <c r="K114" s="167"/>
    </row>
    <row r="115" spans="1:11" s="174" customFormat="1" ht="15">
      <c r="A115" s="259"/>
      <c r="B115" s="218"/>
      <c r="C115" s="137" t="s">
        <v>327</v>
      </c>
      <c r="D115" s="38"/>
      <c r="E115" s="219"/>
      <c r="F115" s="49">
        <v>2.049</v>
      </c>
      <c r="G115" s="38">
        <v>0.444</v>
      </c>
      <c r="H115" s="38">
        <v>0</v>
      </c>
      <c r="I115" s="39">
        <f>12.54049536</f>
        <v>12.54049536</v>
      </c>
      <c r="J115" s="39">
        <f>1160290.07/1000000+4022546/1000000</f>
        <v>5.1828360700000005</v>
      </c>
      <c r="K115" s="167"/>
    </row>
    <row r="116" spans="1:11" s="174" customFormat="1" ht="15">
      <c r="A116" s="253"/>
      <c r="B116" s="221"/>
      <c r="C116" s="16" t="s">
        <v>202</v>
      </c>
      <c r="D116" s="42"/>
      <c r="E116" s="43"/>
      <c r="F116" s="39">
        <v>0.392</v>
      </c>
      <c r="G116" s="124">
        <v>0</v>
      </c>
      <c r="H116" s="124">
        <v>0</v>
      </c>
      <c r="I116" s="39">
        <f>5.05262668+4.75655353</f>
        <v>9.809180210000001</v>
      </c>
      <c r="J116" s="39">
        <v>0</v>
      </c>
      <c r="K116" s="167"/>
    </row>
    <row r="117" spans="1:11" s="126" customFormat="1" ht="15">
      <c r="A117" s="252" t="s">
        <v>387</v>
      </c>
      <c r="B117" s="218"/>
      <c r="C117" s="137" t="s">
        <v>328</v>
      </c>
      <c r="D117" s="38"/>
      <c r="E117" s="219"/>
      <c r="F117" s="49">
        <v>0.322</v>
      </c>
      <c r="G117" s="217">
        <v>0.013</v>
      </c>
      <c r="H117" s="38">
        <v>0</v>
      </c>
      <c r="I117" s="39">
        <v>0</v>
      </c>
      <c r="J117" s="39">
        <v>0</v>
      </c>
      <c r="K117" s="169"/>
    </row>
    <row r="118" spans="1:11" s="174" customFormat="1" ht="15">
      <c r="A118" s="253"/>
      <c r="B118" s="218"/>
      <c r="C118" s="16" t="s">
        <v>329</v>
      </c>
      <c r="D118" s="42"/>
      <c r="E118" s="220"/>
      <c r="F118" s="49">
        <v>4.008</v>
      </c>
      <c r="G118" s="42">
        <v>1.276</v>
      </c>
      <c r="H118" s="42">
        <v>0</v>
      </c>
      <c r="I118" s="39">
        <f>4.98970313+20.61311775+32.17867142+34.03</f>
        <v>91.8114923</v>
      </c>
      <c r="J118" s="39">
        <f>6.75124174</f>
        <v>6.75124174</v>
      </c>
      <c r="K118" s="167"/>
    </row>
    <row r="119" spans="1:11" s="174" customFormat="1" ht="15">
      <c r="A119" s="252" t="s">
        <v>367</v>
      </c>
      <c r="B119" s="218"/>
      <c r="C119" s="137" t="s">
        <v>330</v>
      </c>
      <c r="D119" s="38"/>
      <c r="E119" s="219"/>
      <c r="F119" s="49">
        <v>1.648</v>
      </c>
      <c r="G119" s="38">
        <v>0</v>
      </c>
      <c r="H119" s="38">
        <v>0</v>
      </c>
      <c r="I119" s="39">
        <f>22.95809716+26.91775311</f>
        <v>49.87585027</v>
      </c>
      <c r="J119" s="39">
        <f>2689006.33/1000000+979139.27/1000000+1821079.71/1000000+2000302.42/1000000</f>
        <v>7.489527730000001</v>
      </c>
      <c r="K119" s="167"/>
    </row>
    <row r="120" spans="1:11" s="174" customFormat="1" ht="15">
      <c r="A120" s="253"/>
      <c r="B120" s="218"/>
      <c r="C120" s="137" t="s">
        <v>331</v>
      </c>
      <c r="D120" s="38"/>
      <c r="E120" s="219"/>
      <c r="F120" s="49">
        <v>0.023</v>
      </c>
      <c r="G120" s="38">
        <v>0</v>
      </c>
      <c r="H120" s="38">
        <v>0</v>
      </c>
      <c r="I120" s="39">
        <v>0</v>
      </c>
      <c r="J120" s="39">
        <v>0</v>
      </c>
      <c r="K120" s="167"/>
    </row>
    <row r="121" spans="1:11" s="174" customFormat="1" ht="15">
      <c r="A121" s="252" t="s">
        <v>332</v>
      </c>
      <c r="B121" s="218"/>
      <c r="C121" s="137" t="s">
        <v>333</v>
      </c>
      <c r="D121" s="38"/>
      <c r="E121" s="219"/>
      <c r="F121" s="49">
        <v>0</v>
      </c>
      <c r="G121" s="38">
        <v>0</v>
      </c>
      <c r="H121" s="38">
        <v>0</v>
      </c>
      <c r="I121" s="39">
        <v>0</v>
      </c>
      <c r="J121" s="39">
        <v>0</v>
      </c>
      <c r="K121" s="170"/>
    </row>
    <row r="122" spans="1:11" s="174" customFormat="1" ht="15">
      <c r="A122" s="253"/>
      <c r="B122" s="218"/>
      <c r="C122" s="137" t="s">
        <v>334</v>
      </c>
      <c r="D122" s="38"/>
      <c r="E122" s="219"/>
      <c r="F122" s="49">
        <v>1.991</v>
      </c>
      <c r="G122" s="38">
        <v>0.064</v>
      </c>
      <c r="H122" s="38">
        <v>0</v>
      </c>
      <c r="I122" s="39">
        <f>13.86575346+17.95765649</f>
        <v>31.823409950000002</v>
      </c>
      <c r="J122" s="39">
        <v>0</v>
      </c>
      <c r="K122" s="167"/>
    </row>
    <row r="123" spans="1:11" s="174" customFormat="1" ht="15">
      <c r="A123" s="286" t="s">
        <v>335</v>
      </c>
      <c r="B123" s="218"/>
      <c r="C123" s="137" t="s">
        <v>336</v>
      </c>
      <c r="D123" s="38"/>
      <c r="E123" s="219"/>
      <c r="F123" s="49">
        <v>0</v>
      </c>
      <c r="G123" s="38">
        <v>0</v>
      </c>
      <c r="H123" s="38">
        <v>0</v>
      </c>
      <c r="I123" s="39">
        <f>9.54188255+12.89729599</f>
        <v>22.43917854</v>
      </c>
      <c r="J123" s="39">
        <f>20008152.8/1000000+28991667.63/1000000</f>
        <v>48.99982043</v>
      </c>
      <c r="K123" s="167"/>
    </row>
    <row r="124" spans="1:11" s="174" customFormat="1" ht="15" hidden="1">
      <c r="A124" s="287"/>
      <c r="B124" s="218"/>
      <c r="C124" s="137" t="s">
        <v>337</v>
      </c>
      <c r="D124" s="38"/>
      <c r="E124" s="219"/>
      <c r="F124" s="49">
        <v>0</v>
      </c>
      <c r="G124" s="38">
        <v>0</v>
      </c>
      <c r="H124" s="38">
        <v>0</v>
      </c>
      <c r="I124" s="39">
        <v>0</v>
      </c>
      <c r="J124" s="39">
        <v>0</v>
      </c>
      <c r="K124" s="170"/>
    </row>
    <row r="125" spans="1:11" s="67" customFormat="1" ht="15">
      <c r="A125" s="252" t="s">
        <v>408</v>
      </c>
      <c r="B125" s="218"/>
      <c r="C125" s="137" t="s">
        <v>338</v>
      </c>
      <c r="D125" s="38"/>
      <c r="E125" s="219"/>
      <c r="F125" s="49">
        <v>0</v>
      </c>
      <c r="G125" s="38">
        <v>0</v>
      </c>
      <c r="H125" s="38">
        <v>0</v>
      </c>
      <c r="I125" s="39">
        <f>8.99684971+9.22451544</f>
        <v>18.221365149999997</v>
      </c>
      <c r="J125" s="39">
        <f>25450890.63/1000000</f>
        <v>25.45089063</v>
      </c>
      <c r="K125" s="171"/>
    </row>
    <row r="126" spans="1:12" s="68" customFormat="1" ht="15" hidden="1">
      <c r="A126" s="253"/>
      <c r="B126" s="218"/>
      <c r="C126" s="137" t="s">
        <v>339</v>
      </c>
      <c r="D126" s="38"/>
      <c r="E126" s="219"/>
      <c r="F126" s="49">
        <v>0</v>
      </c>
      <c r="G126" s="38">
        <v>0</v>
      </c>
      <c r="H126" s="38">
        <v>0</v>
      </c>
      <c r="I126" s="39">
        <v>0</v>
      </c>
      <c r="J126" s="39">
        <v>0</v>
      </c>
      <c r="K126" s="168"/>
      <c r="L126" s="69"/>
    </row>
    <row r="127" spans="1:12" s="68" customFormat="1" ht="15">
      <c r="A127" s="216" t="s">
        <v>340</v>
      </c>
      <c r="B127" s="218"/>
      <c r="C127" s="137" t="s">
        <v>341</v>
      </c>
      <c r="D127" s="38"/>
      <c r="E127" s="219"/>
      <c r="F127" s="39">
        <v>0</v>
      </c>
      <c r="G127" s="38">
        <v>0</v>
      </c>
      <c r="H127" s="38">
        <v>0</v>
      </c>
      <c r="I127" s="39">
        <f>0.37009674+0.37048609</f>
        <v>0.7405828299999999</v>
      </c>
      <c r="J127" s="39">
        <f>0.50133612+501336.12/1000000</f>
        <v>1.0026722399999999</v>
      </c>
      <c r="K127" s="168"/>
      <c r="L127" s="69"/>
    </row>
    <row r="128" spans="1:11" s="71" customFormat="1" ht="15">
      <c r="A128" s="233" t="s">
        <v>203</v>
      </c>
      <c r="B128" s="20"/>
      <c r="C128" s="16" t="s">
        <v>205</v>
      </c>
      <c r="D128" s="38"/>
      <c r="E128" s="3"/>
      <c r="F128" s="39">
        <v>0.6</v>
      </c>
      <c r="G128" s="124">
        <v>0</v>
      </c>
      <c r="H128" s="58">
        <v>0</v>
      </c>
      <c r="I128" s="39">
        <f>11.6982929+11.01775846</f>
        <v>22.71605136</v>
      </c>
      <c r="J128" s="39">
        <f>530892.18/1000000+7977334.77/1000000</f>
        <v>8.50822695</v>
      </c>
      <c r="K128" s="167"/>
    </row>
    <row r="129" spans="1:11" s="71" customFormat="1" ht="15">
      <c r="A129" s="234"/>
      <c r="B129" s="16"/>
      <c r="C129" s="137" t="s">
        <v>342</v>
      </c>
      <c r="D129" s="38"/>
      <c r="E129" s="19"/>
      <c r="F129" s="39">
        <v>0.513</v>
      </c>
      <c r="G129" s="38">
        <v>0.121</v>
      </c>
      <c r="H129" s="38">
        <v>0</v>
      </c>
      <c r="I129" s="39">
        <f>2.03249058+2.0066832+2.294073+9.40579374+9.40676931</f>
        <v>25.145809829999997</v>
      </c>
      <c r="J129" s="39">
        <f>4235899.76/1000000+621666.2/1000000+2486664.8/1000000+5558427.2/1000000</f>
        <v>12.902657959999999</v>
      </c>
      <c r="K129" s="167"/>
    </row>
    <row r="130" spans="1:11" s="71" customFormat="1" ht="15">
      <c r="A130" s="181" t="s">
        <v>363</v>
      </c>
      <c r="B130" s="182"/>
      <c r="C130" s="183" t="s">
        <v>343</v>
      </c>
      <c r="D130" s="184"/>
      <c r="E130" s="185"/>
      <c r="F130" s="186">
        <v>0.665</v>
      </c>
      <c r="G130" s="187">
        <v>0.194</v>
      </c>
      <c r="H130" s="187">
        <v>0</v>
      </c>
      <c r="I130" s="186">
        <f>0.58039084+1.6773525+3.64645141+1.1292414+1.5287858+0.41680624</f>
        <v>8.97902819</v>
      </c>
      <c r="J130" s="39">
        <f>0.287839+0.196214+0.2632941+0.365686+0.365686+0.365686+1.097058</f>
        <v>2.9414631</v>
      </c>
      <c r="K130" s="167"/>
    </row>
    <row r="131" spans="1:11" s="71" customFormat="1" ht="28.5">
      <c r="A131" s="103" t="s">
        <v>391</v>
      </c>
      <c r="B131" s="16"/>
      <c r="C131" s="16" t="s">
        <v>201</v>
      </c>
      <c r="D131" s="38"/>
      <c r="E131" s="3"/>
      <c r="F131" s="39">
        <v>2.462</v>
      </c>
      <c r="G131" s="42">
        <v>23.105</v>
      </c>
      <c r="H131" s="38">
        <v>0</v>
      </c>
      <c r="I131" s="39">
        <f>1+2.16+0.1</f>
        <v>3.2600000000000002</v>
      </c>
      <c r="J131" s="39">
        <v>0</v>
      </c>
      <c r="K131" s="167"/>
    </row>
    <row r="132" spans="1:11" s="189" customFormat="1" ht="15">
      <c r="A132" s="103" t="s">
        <v>366</v>
      </c>
      <c r="B132" s="22"/>
      <c r="C132" s="16" t="s">
        <v>210</v>
      </c>
      <c r="D132" s="59"/>
      <c r="E132" s="23"/>
      <c r="F132" s="41">
        <v>0</v>
      </c>
      <c r="G132" s="125">
        <v>0</v>
      </c>
      <c r="H132" s="58">
        <v>0</v>
      </c>
      <c r="I132" s="39">
        <f>4.51648587+4.3010784</f>
        <v>8.81756427</v>
      </c>
      <c r="J132" s="39">
        <f>1023921.5/1000000+773457.43/1000000+3656860/1000000+5903582.12/1000000</f>
        <v>11.35782105</v>
      </c>
      <c r="K132" s="188"/>
    </row>
    <row r="133" spans="1:11" s="71" customFormat="1" ht="15">
      <c r="A133" s="233" t="s">
        <v>281</v>
      </c>
      <c r="B133" s="16"/>
      <c r="C133" s="16" t="s">
        <v>211</v>
      </c>
      <c r="D133" s="59"/>
      <c r="E133" s="23"/>
      <c r="F133" s="41">
        <v>0</v>
      </c>
      <c r="G133" s="125">
        <v>0</v>
      </c>
      <c r="H133" s="58">
        <v>0</v>
      </c>
      <c r="I133" s="230">
        <f>32.72727485+9.42480817+8.89738006+31.7785388</f>
        <v>82.82800187999999</v>
      </c>
      <c r="J133" s="230">
        <f>9.88523071+36.32388787+12.35652994+46.721569</f>
        <v>105.28721752000001</v>
      </c>
      <c r="K133" s="167"/>
    </row>
    <row r="134" spans="1:11" s="71" customFormat="1" ht="15">
      <c r="A134" s="234"/>
      <c r="B134" s="16"/>
      <c r="C134" s="16" t="s">
        <v>212</v>
      </c>
      <c r="D134" s="59"/>
      <c r="E134" s="23"/>
      <c r="F134" s="41">
        <v>0</v>
      </c>
      <c r="G134" s="125">
        <v>0</v>
      </c>
      <c r="H134" s="58">
        <v>0</v>
      </c>
      <c r="I134" s="232"/>
      <c r="J134" s="232"/>
      <c r="K134" s="167"/>
    </row>
    <row r="135" spans="1:11" s="71" customFormat="1" ht="15">
      <c r="A135" s="233" t="s">
        <v>213</v>
      </c>
      <c r="B135" s="16"/>
      <c r="C135" s="16" t="s">
        <v>214</v>
      </c>
      <c r="D135" s="59"/>
      <c r="E135" s="23"/>
      <c r="F135" s="41">
        <v>2.45</v>
      </c>
      <c r="G135" s="125">
        <v>6.303</v>
      </c>
      <c r="H135" s="58">
        <v>0</v>
      </c>
      <c r="I135" s="230">
        <f>2.71572747+1.8682927+2.9969708+6.78546659+6.440069+3.0856527+2.450737+1.634982+4.23232576+2.66718+2.131376+3.944265+3.1620607</f>
        <v>44.11510572000001</v>
      </c>
      <c r="J135" s="230">
        <f>1.57086868</f>
        <v>1.57086868</v>
      </c>
      <c r="K135" s="167"/>
    </row>
    <row r="136" spans="1:11" s="151" customFormat="1" ht="15">
      <c r="A136" s="234"/>
      <c r="B136" s="16"/>
      <c r="C136" s="16" t="s">
        <v>215</v>
      </c>
      <c r="D136" s="59"/>
      <c r="E136" s="23"/>
      <c r="F136" s="41">
        <v>1.053</v>
      </c>
      <c r="G136" s="125">
        <v>2.594</v>
      </c>
      <c r="H136" s="58">
        <v>0</v>
      </c>
      <c r="I136" s="232"/>
      <c r="J136" s="232"/>
      <c r="K136" s="172"/>
    </row>
    <row r="137" spans="1:11" s="71" customFormat="1" ht="25.5">
      <c r="A137" s="256" t="s">
        <v>407</v>
      </c>
      <c r="B137" s="154"/>
      <c r="C137" s="16" t="s">
        <v>353</v>
      </c>
      <c r="D137" s="59"/>
      <c r="E137" s="23"/>
      <c r="F137" s="41">
        <v>0</v>
      </c>
      <c r="G137" s="125">
        <v>0</v>
      </c>
      <c r="H137" s="58">
        <v>0</v>
      </c>
      <c r="I137" s="166">
        <f>131.14449822+150.82269782</f>
        <v>281.96719604</v>
      </c>
      <c r="J137" s="166">
        <f>160.42570701+184.09158546</f>
        <v>344.51729247000003</v>
      </c>
      <c r="K137" s="167"/>
    </row>
    <row r="138" spans="1:11" s="71" customFormat="1" ht="25.5">
      <c r="A138" s="257"/>
      <c r="B138" s="154"/>
      <c r="C138" s="16" t="s">
        <v>347</v>
      </c>
      <c r="D138" s="59"/>
      <c r="E138" s="23"/>
      <c r="F138" s="41">
        <v>0</v>
      </c>
      <c r="G138" s="125">
        <v>0</v>
      </c>
      <c r="H138" s="58">
        <v>0</v>
      </c>
      <c r="I138" s="166">
        <f>38.34040011+35.51076677</f>
        <v>73.85116688</v>
      </c>
      <c r="J138" s="166">
        <f>63559200/1000000+71005200/1000000</f>
        <v>134.5644</v>
      </c>
      <c r="K138" s="167"/>
    </row>
    <row r="139" spans="1:11" s="71" customFormat="1" ht="15">
      <c r="A139" s="257"/>
      <c r="B139" s="118"/>
      <c r="C139" s="16" t="s">
        <v>218</v>
      </c>
      <c r="D139" s="38"/>
      <c r="E139" s="3"/>
      <c r="F139" s="39">
        <v>0</v>
      </c>
      <c r="G139" s="42">
        <v>0</v>
      </c>
      <c r="H139" s="38">
        <v>0</v>
      </c>
      <c r="I139" s="39">
        <f>90.79689157+127.34156948+279.50159921</f>
        <v>497.64006026</v>
      </c>
      <c r="J139" s="166">
        <f>129439992.82/1000000+153287225.96/1000000</f>
        <v>282.72721878</v>
      </c>
      <c r="K139" s="167"/>
    </row>
    <row r="140" spans="1:11" s="151" customFormat="1" ht="25.5">
      <c r="A140" s="257"/>
      <c r="B140" s="115"/>
      <c r="C140" s="115" t="s">
        <v>220</v>
      </c>
      <c r="D140" s="38"/>
      <c r="E140" s="3"/>
      <c r="F140" s="39">
        <v>-0.001</v>
      </c>
      <c r="G140" s="42">
        <v>0</v>
      </c>
      <c r="H140" s="38">
        <v>0</v>
      </c>
      <c r="I140" s="39">
        <f>232.48859688+213.10325195</f>
        <v>445.59184883</v>
      </c>
      <c r="J140" s="214">
        <v>0</v>
      </c>
      <c r="K140" s="172"/>
    </row>
    <row r="141" spans="1:11" s="71" customFormat="1" ht="15">
      <c r="A141" s="257"/>
      <c r="B141" s="115" t="s">
        <v>219</v>
      </c>
      <c r="C141" s="115" t="s">
        <v>222</v>
      </c>
      <c r="D141" s="38">
        <v>200</v>
      </c>
      <c r="E141" s="3"/>
      <c r="F141" s="39">
        <v>0</v>
      </c>
      <c r="G141" s="42">
        <v>0</v>
      </c>
      <c r="H141" s="38">
        <v>0</v>
      </c>
      <c r="I141" s="39">
        <f>180.16249305+178.30885024</f>
        <v>358.47134329</v>
      </c>
      <c r="J141" s="166">
        <f>201057549.01/1000000+226190526.54/1000000+258532536.16/1000000+253646127.89/1000000</f>
        <v>939.4267395999999</v>
      </c>
      <c r="K141" s="167"/>
    </row>
    <row r="142" spans="1:11" s="71" customFormat="1" ht="15">
      <c r="A142" s="257"/>
      <c r="B142" s="201"/>
      <c r="C142" s="201" t="s">
        <v>415</v>
      </c>
      <c r="D142" s="200"/>
      <c r="E142" s="1"/>
      <c r="F142" s="202">
        <v>-0.025</v>
      </c>
      <c r="G142" s="47">
        <v>0</v>
      </c>
      <c r="H142" s="200">
        <v>0</v>
      </c>
      <c r="I142" s="204">
        <f>20.4259692</f>
        <v>20.4259692</v>
      </c>
      <c r="J142" s="166">
        <f>20390034.6/1000000</f>
        <v>20.3900346</v>
      </c>
      <c r="K142" s="167"/>
    </row>
    <row r="143" spans="1:11" s="71" customFormat="1" ht="25.5">
      <c r="A143" s="257"/>
      <c r="B143" s="201"/>
      <c r="C143" s="201" t="s">
        <v>414</v>
      </c>
      <c r="D143" s="200"/>
      <c r="E143" s="1"/>
      <c r="F143" s="202">
        <v>0</v>
      </c>
      <c r="G143" s="47">
        <v>0</v>
      </c>
      <c r="H143" s="200">
        <v>0</v>
      </c>
      <c r="I143" s="196">
        <f>220.05999991</f>
        <v>220.05999991</v>
      </c>
      <c r="J143" s="166">
        <f>219672857.05/1000000</f>
        <v>219.67285705</v>
      </c>
      <c r="K143" s="167"/>
    </row>
    <row r="144" spans="1:11" s="71" customFormat="1" ht="25.5">
      <c r="A144" s="258"/>
      <c r="B144" s="116"/>
      <c r="C144" s="132" t="s">
        <v>221</v>
      </c>
      <c r="D144" s="117"/>
      <c r="E144" s="28"/>
      <c r="F144" s="196">
        <v>0</v>
      </c>
      <c r="G144" s="197">
        <v>0</v>
      </c>
      <c r="H144" s="198">
        <v>0</v>
      </c>
      <c r="I144" s="196">
        <f>309.8773602</f>
        <v>309.8773602</v>
      </c>
      <c r="J144" s="166">
        <f>285548253.02/1000000+337801149.5/1000000</f>
        <v>623.34940252</v>
      </c>
      <c r="K144" s="167"/>
    </row>
    <row r="145" spans="1:11" s="71" customFormat="1" ht="25.5">
      <c r="A145" s="152" t="s">
        <v>406</v>
      </c>
      <c r="B145" s="116"/>
      <c r="C145" s="153" t="s">
        <v>346</v>
      </c>
      <c r="D145" s="117"/>
      <c r="E145" s="28"/>
      <c r="F145" s="224">
        <v>0</v>
      </c>
      <c r="G145" s="47">
        <v>0</v>
      </c>
      <c r="H145" s="226">
        <v>0</v>
      </c>
      <c r="I145" s="224">
        <f>42.99505729</f>
        <v>42.99505729</v>
      </c>
      <c r="J145" s="225">
        <v>0</v>
      </c>
      <c r="K145" s="167"/>
    </row>
    <row r="146" spans="1:11" s="71" customFormat="1" ht="15">
      <c r="A146" s="256" t="s">
        <v>405</v>
      </c>
      <c r="B146" s="115"/>
      <c r="C146" s="16" t="s">
        <v>287</v>
      </c>
      <c r="D146" s="38"/>
      <c r="E146" s="8"/>
      <c r="F146" s="49">
        <v>-0.001</v>
      </c>
      <c r="G146" s="42">
        <v>0</v>
      </c>
      <c r="H146" s="38">
        <v>0</v>
      </c>
      <c r="I146" s="39">
        <f>31.74320856+30.29824313</f>
        <v>62.04145169</v>
      </c>
      <c r="J146" s="166">
        <f>31943028.84/1000000+35190517.62/1000000</f>
        <v>67.13354645999999</v>
      </c>
      <c r="K146" s="167"/>
    </row>
    <row r="147" spans="1:11" s="71" customFormat="1" ht="15">
      <c r="A147" s="257"/>
      <c r="B147" s="16"/>
      <c r="C147" s="16" t="s">
        <v>223</v>
      </c>
      <c r="D147" s="38"/>
      <c r="E147" s="8"/>
      <c r="F147" s="49">
        <v>-0.002</v>
      </c>
      <c r="G147" s="42">
        <v>0</v>
      </c>
      <c r="H147" s="38">
        <v>0</v>
      </c>
      <c r="I147" s="39">
        <f>2.12042011</f>
        <v>2.12042011</v>
      </c>
      <c r="J147" s="166">
        <f>26536560/1000000+29009120/1000000</f>
        <v>55.545680000000004</v>
      </c>
      <c r="K147" s="167"/>
    </row>
    <row r="148" spans="1:10" ht="15">
      <c r="A148" s="257"/>
      <c r="B148" s="16"/>
      <c r="C148" s="16" t="s">
        <v>240</v>
      </c>
      <c r="D148" s="38"/>
      <c r="E148" s="8"/>
      <c r="F148" s="49">
        <v>0</v>
      </c>
      <c r="G148" s="42">
        <v>0</v>
      </c>
      <c r="H148" s="38">
        <v>0</v>
      </c>
      <c r="I148" s="39">
        <f>119.58998+115.640352</f>
        <v>235.23033199999998</v>
      </c>
      <c r="J148" s="166">
        <f>121810337/1000000+159804782/1000000</f>
        <v>281.615119</v>
      </c>
    </row>
    <row r="149" spans="1:10" ht="15">
      <c r="A149" s="258"/>
      <c r="B149" s="16"/>
      <c r="C149" s="16" t="s">
        <v>284</v>
      </c>
      <c r="D149" s="38"/>
      <c r="E149" s="8"/>
      <c r="F149" s="49">
        <v>0</v>
      </c>
      <c r="G149" s="42">
        <v>0</v>
      </c>
      <c r="H149" s="38">
        <v>0</v>
      </c>
      <c r="I149" s="39">
        <f>64.61334965+62.11783136</f>
        <v>126.73118101</v>
      </c>
      <c r="J149" s="166">
        <v>0</v>
      </c>
    </row>
    <row r="150" spans="1:10" ht="25.5">
      <c r="A150" s="93" t="s">
        <v>397</v>
      </c>
      <c r="B150" s="131"/>
      <c r="C150" s="132" t="s">
        <v>226</v>
      </c>
      <c r="D150" s="155">
        <v>20</v>
      </c>
      <c r="E150" s="29"/>
      <c r="F150" s="156">
        <v>2.424</v>
      </c>
      <c r="G150" s="47">
        <v>12.828</v>
      </c>
      <c r="H150" s="47">
        <f>(1446125.62+5320.28+442.09)/1000000</f>
        <v>1.4518879900000001</v>
      </c>
      <c r="I150" s="204">
        <v>0</v>
      </c>
      <c r="J150" s="166">
        <v>0</v>
      </c>
    </row>
    <row r="151" spans="1:10" ht="15">
      <c r="A151" s="93" t="s">
        <v>357</v>
      </c>
      <c r="B151" s="43"/>
      <c r="C151" s="4" t="s">
        <v>360</v>
      </c>
      <c r="D151" s="42"/>
      <c r="E151" s="176"/>
      <c r="F151" s="49">
        <v>0</v>
      </c>
      <c r="G151" s="60">
        <v>0</v>
      </c>
      <c r="H151" s="60">
        <v>0.79816772</v>
      </c>
      <c r="I151" s="49">
        <v>0</v>
      </c>
      <c r="J151" s="166">
        <v>0</v>
      </c>
    </row>
    <row r="152" spans="1:10" ht="15">
      <c r="A152" s="177" t="s">
        <v>357</v>
      </c>
      <c r="B152" s="173"/>
      <c r="C152" s="4" t="s">
        <v>358</v>
      </c>
      <c r="D152" s="175"/>
      <c r="E152" s="176"/>
      <c r="F152" s="49">
        <v>0</v>
      </c>
      <c r="G152" s="60">
        <v>0</v>
      </c>
      <c r="H152" s="60">
        <v>1.1737925</v>
      </c>
      <c r="I152" s="49">
        <v>0</v>
      </c>
      <c r="J152" s="166">
        <v>0</v>
      </c>
    </row>
    <row r="153" spans="1:11" s="174" customFormat="1" ht="15">
      <c r="A153" s="177" t="s">
        <v>410</v>
      </c>
      <c r="B153" s="175"/>
      <c r="C153" s="4" t="s">
        <v>358</v>
      </c>
      <c r="D153" s="175"/>
      <c r="E153" s="176"/>
      <c r="F153" s="49">
        <v>0</v>
      </c>
      <c r="G153" s="60">
        <v>0</v>
      </c>
      <c r="H153" s="60">
        <v>5.0931627</v>
      </c>
      <c r="I153" s="49">
        <v>0</v>
      </c>
      <c r="J153" s="49">
        <v>0</v>
      </c>
      <c r="K153" s="167"/>
    </row>
    <row r="154" spans="1:11" s="174" customFormat="1" ht="15">
      <c r="A154" s="178" t="s">
        <v>409</v>
      </c>
      <c r="B154" s="175"/>
      <c r="C154" s="4" t="s">
        <v>358</v>
      </c>
      <c r="D154" s="175"/>
      <c r="E154" s="176"/>
      <c r="F154" s="49">
        <v>0</v>
      </c>
      <c r="G154" s="60">
        <v>0</v>
      </c>
      <c r="H154" s="60">
        <v>53.24532412</v>
      </c>
      <c r="I154" s="49">
        <v>0</v>
      </c>
      <c r="J154" s="49">
        <v>0</v>
      </c>
      <c r="K154" s="167"/>
    </row>
    <row r="155" spans="1:11" s="174" customFormat="1" ht="15">
      <c r="A155" s="178" t="s">
        <v>359</v>
      </c>
      <c r="B155" s="175"/>
      <c r="C155" s="4" t="s">
        <v>358</v>
      </c>
      <c r="D155" s="175"/>
      <c r="E155" s="176"/>
      <c r="F155" s="49">
        <v>0</v>
      </c>
      <c r="G155" s="60">
        <v>0</v>
      </c>
      <c r="H155" s="60">
        <v>17.65340775</v>
      </c>
      <c r="I155" s="49">
        <v>0</v>
      </c>
      <c r="J155" s="49">
        <v>0</v>
      </c>
      <c r="K155" s="167"/>
    </row>
    <row r="156" spans="1:11" s="174" customFormat="1" ht="15">
      <c r="A156" s="95" t="s">
        <v>216</v>
      </c>
      <c r="B156" s="16"/>
      <c r="C156" s="19" t="s">
        <v>217</v>
      </c>
      <c r="D156" s="38"/>
      <c r="E156" s="8"/>
      <c r="F156" s="49">
        <v>0</v>
      </c>
      <c r="G156" s="60">
        <v>0</v>
      </c>
      <c r="H156" s="48">
        <v>0</v>
      </c>
      <c r="I156" s="49">
        <v>0</v>
      </c>
      <c r="J156" s="49">
        <v>0</v>
      </c>
      <c r="K156" s="167"/>
    </row>
    <row r="157" spans="1:11" s="174" customFormat="1" ht="29.25" customHeight="1">
      <c r="A157" s="256" t="s">
        <v>225</v>
      </c>
      <c r="B157" s="2"/>
      <c r="C157" s="4" t="s">
        <v>224</v>
      </c>
      <c r="D157" s="38"/>
      <c r="E157" s="3"/>
      <c r="F157" s="49">
        <v>-0.651</v>
      </c>
      <c r="G157" s="60">
        <v>0</v>
      </c>
      <c r="H157" s="60">
        <v>0</v>
      </c>
      <c r="I157" s="49">
        <f>755.68238706+737.80375558</f>
        <v>1493.48614264</v>
      </c>
      <c r="J157" s="49">
        <f>795511133.36/1000000+919371077.31/1000000</f>
        <v>1714.88221067</v>
      </c>
      <c r="K157" s="167"/>
    </row>
    <row r="158" spans="1:11" s="174" customFormat="1" ht="45" customHeight="1">
      <c r="A158" s="257"/>
      <c r="B158" s="2"/>
      <c r="C158" s="4" t="s">
        <v>420</v>
      </c>
      <c r="D158" s="38"/>
      <c r="E158" s="3"/>
      <c r="F158" s="49">
        <v>0</v>
      </c>
      <c r="G158" s="60">
        <v>0</v>
      </c>
      <c r="H158" s="60">
        <v>0</v>
      </c>
      <c r="I158" s="49">
        <v>0</v>
      </c>
      <c r="J158" s="49">
        <f>362895806.08/1000000+497725328.64/1000000</f>
        <v>860.62113472</v>
      </c>
      <c r="K158" s="167"/>
    </row>
    <row r="159" spans="1:10" ht="25.5">
      <c r="A159" s="257"/>
      <c r="B159" s="3"/>
      <c r="C159" s="4" t="s">
        <v>267</v>
      </c>
      <c r="D159" s="38"/>
      <c r="E159" s="4"/>
      <c r="F159" s="49">
        <v>-0.018</v>
      </c>
      <c r="G159" s="60">
        <v>0</v>
      </c>
      <c r="H159" s="60">
        <v>0</v>
      </c>
      <c r="I159" s="49">
        <v>0</v>
      </c>
      <c r="J159" s="49">
        <v>0</v>
      </c>
    </row>
    <row r="160" spans="1:10" ht="15">
      <c r="A160" s="257"/>
      <c r="B160" s="3"/>
      <c r="C160" s="4" t="s">
        <v>227</v>
      </c>
      <c r="D160" s="38"/>
      <c r="E160" s="4"/>
      <c r="F160" s="49">
        <v>-0.298</v>
      </c>
      <c r="G160" s="60">
        <v>0</v>
      </c>
      <c r="H160" s="60">
        <v>0</v>
      </c>
      <c r="I160" s="49">
        <f>291.43405955+272.83096501</f>
        <v>564.26502456</v>
      </c>
      <c r="J160" s="49">
        <f>264586381.63/1000000+12554644.31/1000000</f>
        <v>277.14102594</v>
      </c>
    </row>
    <row r="161" spans="1:10" ht="25.5">
      <c r="A161" s="257"/>
      <c r="B161" s="3"/>
      <c r="C161" s="4" t="s">
        <v>268</v>
      </c>
      <c r="D161" s="38"/>
      <c r="E161" s="4"/>
      <c r="F161" s="49">
        <v>-0.358</v>
      </c>
      <c r="G161" s="60">
        <v>0</v>
      </c>
      <c r="H161" s="60">
        <v>0</v>
      </c>
      <c r="I161" s="49">
        <f>214.1706255+210.20133312</f>
        <v>424.37195862</v>
      </c>
      <c r="J161" s="49">
        <f>214279333.12/1000000+249202666.42/1000000</f>
        <v>463.48199954</v>
      </c>
    </row>
    <row r="162" spans="1:11" s="71" customFormat="1" ht="25.5">
      <c r="A162" s="257"/>
      <c r="B162" s="3"/>
      <c r="C162" s="4" t="s">
        <v>269</v>
      </c>
      <c r="D162" s="38"/>
      <c r="E162" s="4"/>
      <c r="F162" s="49">
        <v>-0.137</v>
      </c>
      <c r="G162" s="60">
        <v>0</v>
      </c>
      <c r="H162" s="60">
        <v>0</v>
      </c>
      <c r="I162" s="49">
        <f>181978468.49/1000000+175.73727415</f>
        <v>357.71574264000003</v>
      </c>
      <c r="J162" s="49">
        <f>177325752.87/1000000+208758150.21/1000000</f>
        <v>386.08390308</v>
      </c>
      <c r="K162" s="167"/>
    </row>
    <row r="163" spans="1:11" s="71" customFormat="1" ht="15">
      <c r="A163" s="257"/>
      <c r="B163" s="3"/>
      <c r="C163" s="4" t="s">
        <v>228</v>
      </c>
      <c r="D163" s="38"/>
      <c r="E163" s="4"/>
      <c r="F163" s="49">
        <v>-0.18</v>
      </c>
      <c r="G163" s="60">
        <v>0</v>
      </c>
      <c r="H163" s="60">
        <v>0</v>
      </c>
      <c r="I163" s="49">
        <v>0</v>
      </c>
      <c r="J163" s="49">
        <v>0</v>
      </c>
      <c r="K163" s="167"/>
    </row>
    <row r="164" spans="1:11" s="71" customFormat="1" ht="15">
      <c r="A164" s="257"/>
      <c r="B164" s="3"/>
      <c r="C164" s="4" t="s">
        <v>298</v>
      </c>
      <c r="D164" s="38"/>
      <c r="E164" s="4"/>
      <c r="F164" s="49">
        <v>0</v>
      </c>
      <c r="G164" s="60">
        <v>0</v>
      </c>
      <c r="H164" s="122">
        <v>0</v>
      </c>
      <c r="I164" s="49">
        <f>628233915.35/1000000+572.47803972</f>
        <v>1200.71195507</v>
      </c>
      <c r="J164" s="49">
        <f>631764529.17/1000000+789705121.6/1000000</f>
        <v>1421.46965077</v>
      </c>
      <c r="K164" s="167"/>
    </row>
    <row r="165" spans="1:11" s="71" customFormat="1" ht="15">
      <c r="A165" s="258"/>
      <c r="B165" s="3"/>
      <c r="C165" s="4" t="s">
        <v>229</v>
      </c>
      <c r="D165" s="38"/>
      <c r="E165" s="4"/>
      <c r="F165" s="49">
        <v>0</v>
      </c>
      <c r="G165" s="60">
        <v>0</v>
      </c>
      <c r="H165" s="60">
        <v>0</v>
      </c>
      <c r="I165" s="49">
        <f>211.55502274+200.65158806</f>
        <v>412.2066108</v>
      </c>
      <c r="J165" s="49">
        <f>223265130/1000000+279081221.65/1000000</f>
        <v>502.34635165</v>
      </c>
      <c r="K165" s="167"/>
    </row>
    <row r="166" spans="1:11" s="71" customFormat="1" ht="15.75" thickBot="1">
      <c r="A166" s="88" t="s">
        <v>285</v>
      </c>
      <c r="B166" s="27"/>
      <c r="C166" s="132" t="s">
        <v>286</v>
      </c>
      <c r="D166" s="55"/>
      <c r="E166" s="29"/>
      <c r="F166" s="209">
        <v>0.377</v>
      </c>
      <c r="G166" s="61">
        <v>0.5747385</v>
      </c>
      <c r="H166" s="61">
        <v>0</v>
      </c>
      <c r="I166" s="49">
        <f>1.1028546+2.3539349+3.4751037+2.74521081+3.8536925+6.206298+2.12636842+1.98915418+2.07827143+1.8344871+1.99392009+1.1056503</f>
        <v>30.864946030000002</v>
      </c>
      <c r="J166" s="49">
        <f>1.30521815+1.78293181+9.65263251</f>
        <v>12.74078247</v>
      </c>
      <c r="K166" s="167"/>
    </row>
    <row r="167" spans="1:11" ht="15.75" thickBot="1">
      <c r="A167" s="143" t="s">
        <v>275</v>
      </c>
      <c r="B167" s="62"/>
      <c r="C167" s="63"/>
      <c r="D167" s="64"/>
      <c r="E167" s="63"/>
      <c r="F167" s="65">
        <f>SUM(F9:F87)+(F91+F92+F94+F95+F97+F99+F100+F101+F102+F110+F111+F113+F128+F131+F135+F136+F150+F166+F130+F129+F118+F109+F108+F107)-F36-F35</f>
        <v>1904.6203839901382</v>
      </c>
      <c r="G167" s="65">
        <f>SUM(G9:G166)</f>
        <v>9068.414814579997</v>
      </c>
      <c r="H167" s="65">
        <f>SUM(H9:H166)-F36</f>
        <v>5870.260802863976</v>
      </c>
      <c r="I167" s="66">
        <f>SUM(I9:I166)</f>
        <v>8404.43223611</v>
      </c>
      <c r="J167" s="215">
        <f>SUM(J9:J166)</f>
        <v>11878.551086869997</v>
      </c>
      <c r="K167" s="167">
        <f>12006364744.24/1000000-118360950.44/1000000-9452706.93/1000000</f>
        <v>11878.55108687</v>
      </c>
    </row>
    <row r="168" spans="1:11" ht="15.75" thickBot="1">
      <c r="A168" s="266" t="s">
        <v>274</v>
      </c>
      <c r="B168" s="267"/>
      <c r="C168" s="267"/>
      <c r="D168" s="267"/>
      <c r="E168" s="267"/>
      <c r="F168" s="267"/>
      <c r="G168" s="267"/>
      <c r="H168" s="267"/>
      <c r="I168" s="267"/>
      <c r="J168" s="268"/>
      <c r="K168" s="167">
        <f>K167-J167</f>
        <v>0</v>
      </c>
    </row>
    <row r="169" spans="1:13" s="67" customFormat="1" ht="25.5">
      <c r="A169" s="104" t="s">
        <v>382</v>
      </c>
      <c r="B169" s="133" t="s">
        <v>68</v>
      </c>
      <c r="C169" s="133" t="s">
        <v>69</v>
      </c>
      <c r="D169" s="50">
        <f>0.96017138*K6</f>
        <v>1.0227253824970057</v>
      </c>
      <c r="E169" s="121" t="s">
        <v>54</v>
      </c>
      <c r="F169" s="158">
        <f>0.58667572*K6</f>
        <v>0.6248969326066626</v>
      </c>
      <c r="G169" s="50">
        <v>0</v>
      </c>
      <c r="H169" s="50">
        <f>6700456.1/1000000</f>
        <v>6.700456099999999</v>
      </c>
      <c r="I169" s="206">
        <v>0</v>
      </c>
      <c r="J169" s="135">
        <v>0</v>
      </c>
      <c r="K169" s="171"/>
      <c r="M169" s="199"/>
    </row>
    <row r="170" spans="1:13" s="67" customFormat="1" ht="25.5">
      <c r="A170" s="94" t="s">
        <v>377</v>
      </c>
      <c r="B170" s="133" t="s">
        <v>50</v>
      </c>
      <c r="C170" s="133" t="s">
        <v>51</v>
      </c>
      <c r="D170" s="72">
        <f>24.01892547*K6</f>
        <v>25.583729373888254</v>
      </c>
      <c r="E170" s="30" t="s">
        <v>47</v>
      </c>
      <c r="F170" s="158">
        <f>18.25801109*K6</f>
        <v>19.44749839935327</v>
      </c>
      <c r="G170" s="42">
        <v>0</v>
      </c>
      <c r="H170" s="42">
        <f>112161723.56/1000000</f>
        <v>112.16172356</v>
      </c>
      <c r="I170" s="206">
        <v>0</v>
      </c>
      <c r="J170" s="135">
        <v>0</v>
      </c>
      <c r="K170" s="171"/>
      <c r="M170" s="171"/>
    </row>
    <row r="171" spans="1:10" ht="25.5">
      <c r="A171" s="104" t="s">
        <v>384</v>
      </c>
      <c r="B171" s="115" t="s">
        <v>78</v>
      </c>
      <c r="C171" s="115" t="s">
        <v>79</v>
      </c>
      <c r="D171" s="42">
        <f>1.50575459*K6</f>
        <v>1.6038526778462945</v>
      </c>
      <c r="E171" s="4" t="s">
        <v>47</v>
      </c>
      <c r="F171" s="158">
        <f>0.74601129*K6</f>
        <v>0.7946130220131479</v>
      </c>
      <c r="G171" s="51">
        <v>0</v>
      </c>
      <c r="H171" s="42">
        <f>8448765.01/1000000</f>
        <v>8.448765009999999</v>
      </c>
      <c r="I171" s="206">
        <v>0</v>
      </c>
      <c r="J171" s="135">
        <v>0</v>
      </c>
    </row>
    <row r="172" spans="1:10" ht="25.5">
      <c r="A172" s="88" t="s">
        <v>389</v>
      </c>
      <c r="B172" s="115" t="s">
        <v>87</v>
      </c>
      <c r="C172" s="115" t="s">
        <v>81</v>
      </c>
      <c r="D172" s="47">
        <f>30.62651271*K6</f>
        <v>32.62179291980579</v>
      </c>
      <c r="E172" s="4" t="s">
        <v>82</v>
      </c>
      <c r="F172" s="158">
        <f>43.42995075*K6</f>
        <v>46.25935944124878</v>
      </c>
      <c r="G172" s="51">
        <v>0</v>
      </c>
      <c r="H172" s="42">
        <f>238313103.72/1000000</f>
        <v>238.31310372</v>
      </c>
      <c r="I172" s="206">
        <v>0</v>
      </c>
      <c r="J172" s="135">
        <v>0</v>
      </c>
    </row>
    <row r="173" spans="1:11" ht="25.5">
      <c r="A173" s="87" t="s">
        <v>17</v>
      </c>
      <c r="B173" s="115" t="s">
        <v>76</v>
      </c>
      <c r="C173" s="115" t="s">
        <v>77</v>
      </c>
      <c r="D173" s="47">
        <f>4.08414995*K6</f>
        <v>4.350227372730976</v>
      </c>
      <c r="E173" s="8" t="s">
        <v>54</v>
      </c>
      <c r="F173" s="158">
        <f>3.470193*K6</f>
        <v>3.6962718710314317</v>
      </c>
      <c r="G173" s="51">
        <v>0</v>
      </c>
      <c r="H173" s="42">
        <f>13328598.36/1000000</f>
        <v>13.328598359999999</v>
      </c>
      <c r="I173" s="206">
        <v>0</v>
      </c>
      <c r="J173" s="135">
        <v>0</v>
      </c>
      <c r="K173" s="138"/>
    </row>
    <row r="174" spans="1:11" ht="25.5">
      <c r="A174" s="88" t="s">
        <v>24</v>
      </c>
      <c r="B174" s="115" t="s">
        <v>58</v>
      </c>
      <c r="C174" s="115" t="s">
        <v>61</v>
      </c>
      <c r="D174" s="42">
        <f>4.60162693*K6</f>
        <v>4.901417351236581</v>
      </c>
      <c r="E174" s="8" t="s">
        <v>60</v>
      </c>
      <c r="F174" s="158">
        <f>4.79673309*K6</f>
        <v>5.109234441258074</v>
      </c>
      <c r="G174" s="51">
        <v>0</v>
      </c>
      <c r="H174" s="42">
        <f>29257232.5/1000000</f>
        <v>29.2572325</v>
      </c>
      <c r="I174" s="206">
        <v>0</v>
      </c>
      <c r="J174" s="135">
        <v>0</v>
      </c>
      <c r="K174" s="138"/>
    </row>
    <row r="175" spans="1:10" ht="15">
      <c r="A175" s="105" t="s">
        <v>21</v>
      </c>
      <c r="B175" s="5" t="s">
        <v>137</v>
      </c>
      <c r="C175" s="5" t="s">
        <v>138</v>
      </c>
      <c r="D175" s="42">
        <f>4.01395111*K6</f>
        <v>4.275455163326187</v>
      </c>
      <c r="E175" s="8" t="s">
        <v>54</v>
      </c>
      <c r="F175" s="158">
        <f>0.08791873*K6</f>
        <v>0.09364652877687415</v>
      </c>
      <c r="G175" s="51">
        <v>0</v>
      </c>
      <c r="H175" s="42">
        <f>1383395.62/1000000</f>
        <v>1.3833956200000002</v>
      </c>
      <c r="I175" s="206">
        <v>0</v>
      </c>
      <c r="J175" s="135">
        <v>0</v>
      </c>
    </row>
    <row r="176" spans="1:10" ht="25.5">
      <c r="A176" s="87" t="s">
        <v>22</v>
      </c>
      <c r="B176" s="115" t="s">
        <v>117</v>
      </c>
      <c r="C176" s="115" t="s">
        <v>118</v>
      </c>
      <c r="D176" s="42">
        <v>24.9132155</v>
      </c>
      <c r="E176" s="8" t="s">
        <v>116</v>
      </c>
      <c r="F176" s="158">
        <v>30.62046199</v>
      </c>
      <c r="G176" s="51">
        <v>0</v>
      </c>
      <c r="H176" s="42">
        <f>38562168.66/1000000</f>
        <v>38.56216866</v>
      </c>
      <c r="I176" s="206">
        <v>0</v>
      </c>
      <c r="J176" s="135">
        <v>0</v>
      </c>
    </row>
    <row r="177" spans="1:10" ht="15">
      <c r="A177" s="106" t="s">
        <v>42</v>
      </c>
      <c r="B177" s="2"/>
      <c r="C177" s="2"/>
      <c r="D177" s="42"/>
      <c r="E177" s="3"/>
      <c r="F177" s="238">
        <f>4.67941208*K6</f>
        <v>4.984270109549723</v>
      </c>
      <c r="G177" s="51">
        <v>0</v>
      </c>
      <c r="H177" s="42">
        <v>0</v>
      </c>
      <c r="I177" s="206">
        <v>0</v>
      </c>
      <c r="J177" s="135">
        <v>0</v>
      </c>
    </row>
    <row r="178" spans="1:10" ht="15">
      <c r="A178" s="106" t="s">
        <v>43</v>
      </c>
      <c r="B178" s="3"/>
      <c r="C178" s="2"/>
      <c r="D178" s="42"/>
      <c r="E178" s="3"/>
      <c r="F178" s="239"/>
      <c r="G178" s="51">
        <v>0</v>
      </c>
      <c r="H178" s="73">
        <f>25013182.06/1000000</f>
        <v>25.01318206</v>
      </c>
      <c r="I178" s="206">
        <v>0</v>
      </c>
      <c r="J178" s="135">
        <v>0</v>
      </c>
    </row>
    <row r="179" spans="1:10" ht="25.5">
      <c r="A179" s="88" t="s">
        <v>14</v>
      </c>
      <c r="B179" s="115" t="s">
        <v>80</v>
      </c>
      <c r="C179" s="115" t="s">
        <v>81</v>
      </c>
      <c r="D179" s="47">
        <f>0.35271312*K6</f>
        <v>0.37569195258008237</v>
      </c>
      <c r="E179" s="4" t="s">
        <v>82</v>
      </c>
      <c r="F179" s="158">
        <f>0.44979077*K6</f>
        <v>0.4790940939021456</v>
      </c>
      <c r="G179" s="51">
        <v>0</v>
      </c>
      <c r="H179" s="42">
        <f>1051695.43/1000000</f>
        <v>1.0516954299999999</v>
      </c>
      <c r="I179" s="206">
        <v>0</v>
      </c>
      <c r="J179" s="135">
        <v>0</v>
      </c>
    </row>
    <row r="180" spans="1:11" s="68" customFormat="1" ht="25.5">
      <c r="A180" s="93" t="s">
        <v>403</v>
      </c>
      <c r="B180" s="115" t="s">
        <v>110</v>
      </c>
      <c r="C180" s="115" t="s">
        <v>111</v>
      </c>
      <c r="D180" s="47">
        <v>15</v>
      </c>
      <c r="E180" s="8" t="s">
        <v>109</v>
      </c>
      <c r="F180" s="158">
        <v>12.95720312</v>
      </c>
      <c r="G180" s="51">
        <v>0</v>
      </c>
      <c r="H180" s="42">
        <f>75437118.1/1000000</f>
        <v>75.43711809999999</v>
      </c>
      <c r="I180" s="206">
        <v>0</v>
      </c>
      <c r="J180" s="135">
        <v>0</v>
      </c>
      <c r="K180" s="168"/>
    </row>
    <row r="181" spans="1:10" ht="15">
      <c r="A181" s="105" t="s">
        <v>20</v>
      </c>
      <c r="B181" s="2"/>
      <c r="C181" s="2"/>
      <c r="D181" s="42"/>
      <c r="E181" s="3"/>
      <c r="F181" s="158">
        <f>2.6988492*K6</f>
        <v>2.8746759566732116</v>
      </c>
      <c r="G181" s="51">
        <v>0</v>
      </c>
      <c r="H181" s="42">
        <f>12992338/1000000</f>
        <v>12.992338</v>
      </c>
      <c r="I181" s="206">
        <v>0</v>
      </c>
      <c r="J181" s="135">
        <v>0</v>
      </c>
    </row>
    <row r="182" spans="1:10" ht="15">
      <c r="A182" s="105" t="s">
        <v>25</v>
      </c>
      <c r="B182" s="2"/>
      <c r="C182" s="2"/>
      <c r="D182" s="47"/>
      <c r="E182" s="1"/>
      <c r="F182" s="158">
        <v>0</v>
      </c>
      <c r="G182" s="74">
        <v>0</v>
      </c>
      <c r="H182" s="50">
        <f>16060587.71/1000000</f>
        <v>16.06058771</v>
      </c>
      <c r="I182" s="206">
        <v>0</v>
      </c>
      <c r="J182" s="135">
        <v>0</v>
      </c>
    </row>
    <row r="183" spans="1:10" ht="28.5">
      <c r="A183" s="107" t="s">
        <v>15</v>
      </c>
      <c r="B183" s="2"/>
      <c r="C183" s="1"/>
      <c r="D183" s="47"/>
      <c r="E183" s="1"/>
      <c r="F183" s="158">
        <f>0.7968216/K8</f>
        <v>0.021789775927981928</v>
      </c>
      <c r="G183" s="74">
        <v>0</v>
      </c>
      <c r="H183" s="50">
        <f>160577.1/1000000</f>
        <v>0.1605771</v>
      </c>
      <c r="I183" s="206">
        <v>0</v>
      </c>
      <c r="J183" s="135">
        <v>0</v>
      </c>
    </row>
    <row r="184" spans="1:10" ht="28.5">
      <c r="A184" s="108" t="s">
        <v>16</v>
      </c>
      <c r="B184" s="2"/>
      <c r="C184" s="1"/>
      <c r="D184" s="47"/>
      <c r="E184" s="1"/>
      <c r="F184" s="158">
        <f>1.79334043/K8</f>
        <v>0.0490404453547579</v>
      </c>
      <c r="G184" s="74">
        <v>0</v>
      </c>
      <c r="H184" s="50">
        <f>289720.5/1000000</f>
        <v>0.2897205</v>
      </c>
      <c r="I184" s="206">
        <v>0</v>
      </c>
      <c r="J184" s="135">
        <v>0</v>
      </c>
    </row>
    <row r="185" spans="1:13" ht="25.5">
      <c r="A185" s="87" t="s">
        <v>400</v>
      </c>
      <c r="B185" s="14"/>
      <c r="C185" s="115" t="s">
        <v>108</v>
      </c>
      <c r="D185" s="42">
        <f>25.85424091*K6</f>
        <v>27.538613391964965</v>
      </c>
      <c r="E185" s="4" t="s">
        <v>82</v>
      </c>
      <c r="F185" s="39">
        <f>37.1701816*K6</f>
        <v>39.59177391263543</v>
      </c>
      <c r="G185" s="42">
        <v>0</v>
      </c>
      <c r="H185" s="42">
        <f>587849660.28/1000000</f>
        <v>587.84966028</v>
      </c>
      <c r="I185" s="39">
        <v>0</v>
      </c>
      <c r="J185" s="39">
        <v>0</v>
      </c>
      <c r="M185" s="35" t="s">
        <v>348</v>
      </c>
    </row>
    <row r="186" spans="1:10" ht="25.5">
      <c r="A186" s="93" t="s">
        <v>398</v>
      </c>
      <c r="B186" s="115" t="s">
        <v>122</v>
      </c>
      <c r="C186" s="115" t="s">
        <v>123</v>
      </c>
      <c r="D186" s="47">
        <f>1.26861793*K6</f>
        <v>1.3512668516549717</v>
      </c>
      <c r="E186" s="8" t="s">
        <v>54</v>
      </c>
      <c r="F186" s="158">
        <f>1.08091182*K6</f>
        <v>1.1513319159284197</v>
      </c>
      <c r="G186" s="74">
        <v>0</v>
      </c>
      <c r="H186" s="50">
        <f>647749.08/1000000</f>
        <v>0.64774908</v>
      </c>
      <c r="I186" s="206">
        <v>0</v>
      </c>
      <c r="J186" s="135">
        <v>0</v>
      </c>
    </row>
    <row r="187" spans="1:10" ht="85.5">
      <c r="A187" s="93" t="s">
        <v>18</v>
      </c>
      <c r="B187" s="115" t="s">
        <v>95</v>
      </c>
      <c r="C187" s="115" t="s">
        <v>96</v>
      </c>
      <c r="D187" s="42">
        <f>9.27658248*K6</f>
        <v>9.880940593254323</v>
      </c>
      <c r="E187" s="8" t="s">
        <v>54</v>
      </c>
      <c r="F187" s="158">
        <f>8.86304848*K6</f>
        <v>9.44046535400535</v>
      </c>
      <c r="G187" s="50">
        <v>0</v>
      </c>
      <c r="H187" s="50">
        <f>22206089.62/1000000</f>
        <v>22.20608962</v>
      </c>
      <c r="I187" s="39">
        <v>0</v>
      </c>
      <c r="J187" s="39">
        <v>0</v>
      </c>
    </row>
    <row r="188" spans="1:10" ht="25.5">
      <c r="A188" s="93" t="s">
        <v>399</v>
      </c>
      <c r="B188" s="115" t="s">
        <v>99</v>
      </c>
      <c r="C188" s="115" t="s">
        <v>100</v>
      </c>
      <c r="D188" s="42">
        <v>2.058</v>
      </c>
      <c r="E188" s="8" t="s">
        <v>85</v>
      </c>
      <c r="F188" s="70">
        <f>2.05902565</f>
        <v>2.05902565</v>
      </c>
      <c r="G188" s="42">
        <v>0</v>
      </c>
      <c r="H188" s="51">
        <f>13090935.92/1000000</f>
        <v>13.09093592</v>
      </c>
      <c r="I188" s="70">
        <v>0</v>
      </c>
      <c r="J188" s="70">
        <v>0</v>
      </c>
    </row>
    <row r="189" spans="1:10" ht="25.5">
      <c r="A189" s="254" t="s">
        <v>7</v>
      </c>
      <c r="B189" s="2"/>
      <c r="C189" s="115" t="s">
        <v>135</v>
      </c>
      <c r="D189" s="38"/>
      <c r="E189" s="3"/>
      <c r="F189" s="39">
        <f>16.03330225*K6</f>
        <v>17.077852472879737</v>
      </c>
      <c r="G189" s="42">
        <v>0</v>
      </c>
      <c r="H189" s="250">
        <f>9697340.87/1000000</f>
        <v>9.69734087</v>
      </c>
      <c r="I189" s="39">
        <v>0</v>
      </c>
      <c r="J189" s="39">
        <v>0</v>
      </c>
    </row>
    <row r="190" spans="1:10" ht="25.5">
      <c r="A190" s="255"/>
      <c r="B190" s="2"/>
      <c r="C190" s="115" t="s">
        <v>136</v>
      </c>
      <c r="D190" s="38"/>
      <c r="E190" s="3"/>
      <c r="F190" s="39">
        <f>6.87613923/K8</f>
        <v>0.18803397532309138</v>
      </c>
      <c r="G190" s="42">
        <v>0</v>
      </c>
      <c r="H190" s="251"/>
      <c r="I190" s="39">
        <v>0</v>
      </c>
      <c r="J190" s="39">
        <v>0</v>
      </c>
    </row>
    <row r="191" spans="1:10" ht="51">
      <c r="A191" s="87" t="s">
        <v>401</v>
      </c>
      <c r="B191" s="115" t="s">
        <v>114</v>
      </c>
      <c r="C191" s="115" t="s">
        <v>115</v>
      </c>
      <c r="D191" s="42">
        <f>68.12651969*K6</f>
        <v>72.56487993648075</v>
      </c>
      <c r="E191" s="4" t="s">
        <v>82</v>
      </c>
      <c r="F191" s="39">
        <f>96.2540915*K6</f>
        <v>102.52492898323972</v>
      </c>
      <c r="G191" s="42">
        <v>0</v>
      </c>
      <c r="H191" s="42">
        <f>523288471.27/1000000</f>
        <v>523.28847127</v>
      </c>
      <c r="I191" s="39">
        <v>0</v>
      </c>
      <c r="J191" s="39">
        <v>0</v>
      </c>
    </row>
    <row r="192" spans="1:10" ht="76.5">
      <c r="A192" s="87" t="s">
        <v>19</v>
      </c>
      <c r="B192" s="6" t="s">
        <v>132</v>
      </c>
      <c r="C192" s="6" t="s">
        <v>133</v>
      </c>
      <c r="D192" s="42">
        <f>50.54923979*K6</f>
        <v>53.842461539689516</v>
      </c>
      <c r="E192" s="4" t="s">
        <v>134</v>
      </c>
      <c r="F192" s="158">
        <f>35.37499117*K6</f>
        <v>37.67962900036288</v>
      </c>
      <c r="G192" s="50">
        <v>0</v>
      </c>
      <c r="H192" s="74">
        <f>(318422822.01+6368742.32)/1000000</f>
        <v>324.79156432999997</v>
      </c>
      <c r="I192" s="39">
        <v>0</v>
      </c>
      <c r="J192" s="39">
        <v>0</v>
      </c>
    </row>
    <row r="193" spans="1:10" ht="38.25">
      <c r="A193" s="93" t="s">
        <v>376</v>
      </c>
      <c r="B193" s="7" t="s">
        <v>48</v>
      </c>
      <c r="C193" s="7" t="s">
        <v>178</v>
      </c>
      <c r="D193" s="42">
        <v>50</v>
      </c>
      <c r="E193" s="4" t="s">
        <v>49</v>
      </c>
      <c r="F193" s="70">
        <f>38787004.58/1000000</f>
        <v>38.78700458</v>
      </c>
      <c r="G193" s="42">
        <v>0</v>
      </c>
      <c r="H193" s="42">
        <f>199955474.61/1000000</f>
        <v>199.95547461</v>
      </c>
      <c r="I193" s="206">
        <v>0</v>
      </c>
      <c r="J193" s="135">
        <v>0</v>
      </c>
    </row>
    <row r="194" spans="1:10" ht="45">
      <c r="A194" s="89" t="s">
        <v>385</v>
      </c>
      <c r="B194" s="228" t="s">
        <v>83</v>
      </c>
      <c r="C194" s="228" t="s">
        <v>84</v>
      </c>
      <c r="D194" s="243">
        <f>4.00923188*K6</f>
        <v>4.270428481207374</v>
      </c>
      <c r="E194" s="245" t="s">
        <v>54</v>
      </c>
      <c r="F194" s="230">
        <f>3.06132518*K6</f>
        <v>3.260766807758022</v>
      </c>
      <c r="G194" s="250">
        <v>0</v>
      </c>
      <c r="H194" s="250">
        <f>34020783.75/1000000</f>
        <v>34.02078375</v>
      </c>
      <c r="I194" s="230">
        <v>0</v>
      </c>
      <c r="J194" s="230">
        <v>0</v>
      </c>
    </row>
    <row r="195" spans="1:10" ht="15">
      <c r="A195" s="90" t="s">
        <v>29</v>
      </c>
      <c r="B195" s="277"/>
      <c r="C195" s="277"/>
      <c r="D195" s="269"/>
      <c r="E195" s="270"/>
      <c r="F195" s="231"/>
      <c r="G195" s="264"/>
      <c r="H195" s="264"/>
      <c r="I195" s="231"/>
      <c r="J195" s="231"/>
    </row>
    <row r="196" spans="1:10" ht="15">
      <c r="A196" s="90" t="s">
        <v>28</v>
      </c>
      <c r="B196" s="277"/>
      <c r="C196" s="277"/>
      <c r="D196" s="269"/>
      <c r="E196" s="270"/>
      <c r="F196" s="231"/>
      <c r="G196" s="264"/>
      <c r="H196" s="264"/>
      <c r="I196" s="231"/>
      <c r="J196" s="231"/>
    </row>
    <row r="197" spans="1:10" ht="15">
      <c r="A197" s="91" t="s">
        <v>30</v>
      </c>
      <c r="B197" s="229"/>
      <c r="C197" s="229"/>
      <c r="D197" s="244"/>
      <c r="E197" s="246"/>
      <c r="F197" s="232"/>
      <c r="G197" s="251"/>
      <c r="H197" s="251"/>
      <c r="I197" s="232"/>
      <c r="J197" s="232"/>
    </row>
    <row r="198" spans="1:10" ht="25.5">
      <c r="A198" s="87" t="s">
        <v>371</v>
      </c>
      <c r="B198" s="15" t="s">
        <v>181</v>
      </c>
      <c r="C198" s="16" t="s">
        <v>236</v>
      </c>
      <c r="D198" s="40">
        <v>10.9</v>
      </c>
      <c r="E198" s="5" t="s">
        <v>103</v>
      </c>
      <c r="F198" s="39">
        <v>0.076</v>
      </c>
      <c r="G198" s="51">
        <v>0</v>
      </c>
      <c r="H198" s="51">
        <f>663159.05/1000000</f>
        <v>0.6631590500000001</v>
      </c>
      <c r="I198" s="206">
        <v>0</v>
      </c>
      <c r="J198" s="135">
        <v>0</v>
      </c>
    </row>
    <row r="199" spans="1:10" ht="25.5">
      <c r="A199" s="109" t="s">
        <v>364</v>
      </c>
      <c r="B199" s="16" t="s">
        <v>237</v>
      </c>
      <c r="C199" s="16" t="s">
        <v>238</v>
      </c>
      <c r="D199" s="53">
        <v>2</v>
      </c>
      <c r="E199" s="5" t="s">
        <v>239</v>
      </c>
      <c r="F199" s="41">
        <v>0.383</v>
      </c>
      <c r="G199" s="51">
        <v>0</v>
      </c>
      <c r="H199" s="51">
        <v>0</v>
      </c>
      <c r="I199" s="206">
        <v>0</v>
      </c>
      <c r="J199" s="135">
        <v>0</v>
      </c>
    </row>
    <row r="200" spans="1:10" ht="15">
      <c r="A200" s="99" t="s">
        <v>402</v>
      </c>
      <c r="B200" s="115"/>
      <c r="C200" s="19" t="s">
        <v>234</v>
      </c>
      <c r="D200" s="42"/>
      <c r="E200" s="3"/>
      <c r="F200" s="39">
        <v>1.228</v>
      </c>
      <c r="G200" s="42">
        <v>0.263</v>
      </c>
      <c r="H200" s="54">
        <v>0</v>
      </c>
      <c r="I200" s="39">
        <v>0</v>
      </c>
      <c r="J200" s="39">
        <v>0</v>
      </c>
    </row>
    <row r="201" spans="1:10" ht="25.5">
      <c r="A201" s="110" t="s">
        <v>23</v>
      </c>
      <c r="B201" s="115" t="s">
        <v>101</v>
      </c>
      <c r="C201" s="115" t="s">
        <v>102</v>
      </c>
      <c r="D201" s="42">
        <v>4.6</v>
      </c>
      <c r="E201" s="4" t="s">
        <v>103</v>
      </c>
      <c r="F201" s="39">
        <v>9.52566999</v>
      </c>
      <c r="G201" s="76">
        <v>0</v>
      </c>
      <c r="H201" s="42">
        <f>35489606.96/1000000</f>
        <v>35.48960696</v>
      </c>
      <c r="I201" s="39">
        <v>0</v>
      </c>
      <c r="J201" s="39">
        <v>0</v>
      </c>
    </row>
    <row r="202" spans="1:10" ht="89.25">
      <c r="A202" s="93" t="s">
        <v>260</v>
      </c>
      <c r="B202" s="16" t="s">
        <v>183</v>
      </c>
      <c r="C202" s="16" t="s">
        <v>184</v>
      </c>
      <c r="D202" s="77">
        <v>1.4562987</v>
      </c>
      <c r="E202" s="6" t="s">
        <v>185</v>
      </c>
      <c r="F202" s="39">
        <v>0.004</v>
      </c>
      <c r="G202" s="78">
        <v>0</v>
      </c>
      <c r="H202" s="42">
        <f>8878.92/1000000</f>
        <v>0.00887892</v>
      </c>
      <c r="I202" s="39">
        <v>0</v>
      </c>
      <c r="J202" s="39">
        <v>0</v>
      </c>
    </row>
    <row r="203" spans="1:10" ht="25.5">
      <c r="A203" s="100" t="s">
        <v>12</v>
      </c>
      <c r="B203" s="15" t="s">
        <v>181</v>
      </c>
      <c r="C203" s="16" t="s">
        <v>182</v>
      </c>
      <c r="D203" s="38">
        <v>5.44</v>
      </c>
      <c r="E203" s="4" t="s">
        <v>103</v>
      </c>
      <c r="F203" s="39">
        <v>9.978</v>
      </c>
      <c r="G203" s="42">
        <v>0</v>
      </c>
      <c r="H203" s="42">
        <f>11547055/1000000</f>
        <v>11.547055</v>
      </c>
      <c r="I203" s="39">
        <v>0</v>
      </c>
      <c r="J203" s="39">
        <v>0</v>
      </c>
    </row>
    <row r="204" spans="1:10" ht="44.25">
      <c r="A204" s="93" t="s">
        <v>270</v>
      </c>
      <c r="B204" s="115" t="s">
        <v>64</v>
      </c>
      <c r="C204" s="115" t="s">
        <v>65</v>
      </c>
      <c r="D204" s="42">
        <f>4.04310139*K6</f>
        <v>4.306504548762874</v>
      </c>
      <c r="E204" s="8" t="s">
        <v>54</v>
      </c>
      <c r="F204" s="157">
        <f>3.64389715*K6</f>
        <v>3.8812926360224345</v>
      </c>
      <c r="G204" s="43">
        <v>0</v>
      </c>
      <c r="H204" s="42">
        <f>20153250.29/1000000</f>
        <v>20.15325029</v>
      </c>
      <c r="I204" s="205">
        <v>0</v>
      </c>
      <c r="J204" s="129">
        <v>0</v>
      </c>
    </row>
    <row r="205" spans="1:10" ht="74.25">
      <c r="A205" s="93" t="s">
        <v>257</v>
      </c>
      <c r="B205" s="228" t="s">
        <v>58</v>
      </c>
      <c r="C205" s="228" t="s">
        <v>59</v>
      </c>
      <c r="D205" s="243">
        <f>1.2782297*K6</f>
        <v>1.3615048168291923</v>
      </c>
      <c r="E205" s="245" t="s">
        <v>60</v>
      </c>
      <c r="F205" s="230">
        <f>1.35205745*K6</f>
        <v>1.4401423553253339</v>
      </c>
      <c r="G205" s="51">
        <v>0</v>
      </c>
      <c r="H205" s="42">
        <f>13786427.66/1000000</f>
        <v>13.78642766</v>
      </c>
      <c r="I205" s="39">
        <v>0</v>
      </c>
      <c r="J205" s="39">
        <v>0</v>
      </c>
    </row>
    <row r="206" spans="1:10" ht="59.25">
      <c r="A206" s="104" t="s">
        <v>272</v>
      </c>
      <c r="B206" s="229"/>
      <c r="C206" s="229"/>
      <c r="D206" s="244"/>
      <c r="E206" s="246"/>
      <c r="F206" s="232"/>
      <c r="G206" s="74">
        <v>0</v>
      </c>
      <c r="H206" s="50">
        <f>14402241.08/1000000</f>
        <v>14.40224108</v>
      </c>
      <c r="I206" s="205">
        <v>0</v>
      </c>
      <c r="J206" s="129">
        <v>0</v>
      </c>
    </row>
    <row r="207" spans="1:10" ht="29.25">
      <c r="A207" s="93" t="s">
        <v>373</v>
      </c>
      <c r="B207" s="235"/>
      <c r="C207" s="235"/>
      <c r="D207" s="247"/>
      <c r="E207" s="235"/>
      <c r="F207" s="240">
        <f>8.05722071/K8</f>
        <v>0.22033167006666918</v>
      </c>
      <c r="G207" s="42">
        <v>0</v>
      </c>
      <c r="H207" s="42">
        <f>3105593.02/1000000</f>
        <v>3.10559302</v>
      </c>
      <c r="I207" s="230">
        <v>0</v>
      </c>
      <c r="J207" s="230">
        <v>0</v>
      </c>
    </row>
    <row r="208" spans="1:10" ht="29.25">
      <c r="A208" s="93" t="s">
        <v>374</v>
      </c>
      <c r="B208" s="236"/>
      <c r="C208" s="236"/>
      <c r="D208" s="248"/>
      <c r="E208" s="236"/>
      <c r="F208" s="241"/>
      <c r="G208" s="42">
        <v>0</v>
      </c>
      <c r="H208" s="42">
        <f>3231489.18/1000000</f>
        <v>3.23148918</v>
      </c>
      <c r="I208" s="231"/>
      <c r="J208" s="231"/>
    </row>
    <row r="209" spans="1:10" ht="44.25">
      <c r="A209" s="93" t="s">
        <v>258</v>
      </c>
      <c r="B209" s="236"/>
      <c r="C209" s="236"/>
      <c r="D209" s="248"/>
      <c r="E209" s="236"/>
      <c r="F209" s="241"/>
      <c r="G209" s="42">
        <v>0</v>
      </c>
      <c r="H209" s="42">
        <f>3149171.34/1000000</f>
        <v>3.1491713399999997</v>
      </c>
      <c r="I209" s="231"/>
      <c r="J209" s="231"/>
    </row>
    <row r="210" spans="1:10" ht="58.5">
      <c r="A210" s="111" t="s">
        <v>390</v>
      </c>
      <c r="B210" s="237"/>
      <c r="C210" s="237"/>
      <c r="D210" s="249"/>
      <c r="E210" s="237"/>
      <c r="F210" s="242"/>
      <c r="G210" s="50">
        <v>0</v>
      </c>
      <c r="H210" s="50">
        <f>2224878.48/1000000</f>
        <v>2.22487848</v>
      </c>
      <c r="I210" s="232"/>
      <c r="J210" s="232"/>
    </row>
    <row r="211" spans="1:10" ht="45">
      <c r="A211" s="93" t="s">
        <v>259</v>
      </c>
      <c r="B211" s="115" t="s">
        <v>70</v>
      </c>
      <c r="C211" s="115" t="s">
        <v>71</v>
      </c>
      <c r="D211" s="38">
        <f>2.77353707*K6</f>
        <v>2.9542296509456203</v>
      </c>
      <c r="E211" s="8" t="s">
        <v>54</v>
      </c>
      <c r="F211" s="157">
        <f>2.28872099*K6</f>
        <v>2.4378283905178213</v>
      </c>
      <c r="G211" s="50">
        <v>0</v>
      </c>
      <c r="H211" s="50">
        <f>7018311.34/1000000</f>
        <v>7.0183113399999995</v>
      </c>
      <c r="I211" s="205">
        <v>0</v>
      </c>
      <c r="J211" s="129">
        <v>0</v>
      </c>
    </row>
    <row r="212" spans="1:10" ht="45.75" customHeight="1" thickBot="1">
      <c r="A212" s="88" t="s">
        <v>378</v>
      </c>
      <c r="B212" s="132" t="s">
        <v>52</v>
      </c>
      <c r="C212" s="132" t="s">
        <v>53</v>
      </c>
      <c r="D212" s="127">
        <f>4.09479198*K6</f>
        <v>4.3615627180964</v>
      </c>
      <c r="E212" s="28" t="s">
        <v>54</v>
      </c>
      <c r="F212" s="39">
        <f>3.99062006*K6</f>
        <v>4.25060412367605</v>
      </c>
      <c r="G212" s="72">
        <v>0</v>
      </c>
      <c r="H212" s="72">
        <f>9021661.38/1000000</f>
        <v>9.021661380000001</v>
      </c>
      <c r="I212" s="39">
        <v>0</v>
      </c>
      <c r="J212" s="39">
        <v>0</v>
      </c>
    </row>
    <row r="213" spans="1:10" ht="15.75" thickBot="1">
      <c r="A213" s="143" t="s">
        <v>275</v>
      </c>
      <c r="B213" s="62"/>
      <c r="C213" s="79"/>
      <c r="D213" s="64"/>
      <c r="E213" s="79"/>
      <c r="F213" s="66">
        <f>SUM(F169:F204)</f>
        <v>404.8488314058512</v>
      </c>
      <c r="G213" s="66"/>
      <c r="H213" s="66"/>
      <c r="I213" s="66">
        <f>SUM(I169:I210)</f>
        <v>0</v>
      </c>
      <c r="J213" s="66">
        <f>SUM(J169:J210)</f>
        <v>0</v>
      </c>
    </row>
    <row r="214" spans="1:10" ht="15">
      <c r="A214" s="144" t="s">
        <v>276</v>
      </c>
      <c r="B214" s="145"/>
      <c r="C214" s="146"/>
      <c r="D214" s="147"/>
      <c r="E214" s="146"/>
      <c r="F214" s="148">
        <f>F213+F167</f>
        <v>2309.4692153959895</v>
      </c>
      <c r="G214" s="147"/>
      <c r="H214" s="146"/>
      <c r="I214" s="149">
        <f>I213+I167</f>
        <v>8404.43223611</v>
      </c>
      <c r="J214" s="149">
        <f>J213+J167</f>
        <v>11878.551086869997</v>
      </c>
    </row>
    <row r="215" spans="9:10" ht="15">
      <c r="I215" s="80"/>
      <c r="J215" s="81"/>
    </row>
    <row r="216" spans="1:10" ht="15">
      <c r="A216" s="83"/>
      <c r="B216" s="82"/>
      <c r="C216" s="82"/>
      <c r="D216" s="82"/>
      <c r="E216" s="82"/>
      <c r="F216" s="163"/>
      <c r="G216" s="82"/>
      <c r="H216" s="82"/>
      <c r="I216" s="84"/>
      <c r="J216" s="85"/>
    </row>
    <row r="217" spans="1:10" ht="15">
      <c r="A217" s="67"/>
      <c r="B217" s="67"/>
      <c r="C217" s="67"/>
      <c r="D217" s="68"/>
      <c r="E217" s="68"/>
      <c r="F217" s="164"/>
      <c r="G217" s="68"/>
      <c r="H217" s="86"/>
      <c r="I217" s="68"/>
      <c r="J217" s="67"/>
    </row>
    <row r="218" spans="3:4" ht="15">
      <c r="C218" s="33"/>
      <c r="D218" s="33"/>
    </row>
    <row r="219" ht="15">
      <c r="C219" s="33"/>
    </row>
    <row r="220" ht="15">
      <c r="C220" s="33"/>
    </row>
  </sheetData>
  <sheetProtection/>
  <mergeCells count="76">
    <mergeCell ref="H56:H57"/>
    <mergeCell ref="G39:H39"/>
    <mergeCell ref="C6:C7"/>
    <mergeCell ref="F6:F7"/>
    <mergeCell ref="G40:H40"/>
    <mergeCell ref="C194:C197"/>
    <mergeCell ref="B194:B197"/>
    <mergeCell ref="A135:A136"/>
    <mergeCell ref="A121:A122"/>
    <mergeCell ref="A125:A126"/>
    <mergeCell ref="A2:J2"/>
    <mergeCell ref="A3:J3"/>
    <mergeCell ref="I6:J6"/>
    <mergeCell ref="G6:H6"/>
    <mergeCell ref="D6:D7"/>
    <mergeCell ref="A6:A7"/>
    <mergeCell ref="A25:A27"/>
    <mergeCell ref="B53:B54"/>
    <mergeCell ref="A133:A134"/>
    <mergeCell ref="A56:A59"/>
    <mergeCell ref="A108:A109"/>
    <mergeCell ref="B35:C35"/>
    <mergeCell ref="B36:C36"/>
    <mergeCell ref="E84:E85"/>
    <mergeCell ref="A103:A104"/>
    <mergeCell ref="A84:A85"/>
    <mergeCell ref="A88:A89"/>
    <mergeCell ref="A111:A112"/>
    <mergeCell ref="A117:A118"/>
    <mergeCell ref="A42:A46"/>
    <mergeCell ref="A168:J168"/>
    <mergeCell ref="F194:F197"/>
    <mergeCell ref="A137:A144"/>
    <mergeCell ref="H44:H45"/>
    <mergeCell ref="J133:J134"/>
    <mergeCell ref="I99:I100"/>
    <mergeCell ref="A99:A100"/>
    <mergeCell ref="D194:D197"/>
    <mergeCell ref="E194:E197"/>
    <mergeCell ref="E6:E7"/>
    <mergeCell ref="B84:B85"/>
    <mergeCell ref="J194:J197"/>
    <mergeCell ref="I135:I136"/>
    <mergeCell ref="G194:G197"/>
    <mergeCell ref="H194:H197"/>
    <mergeCell ref="I133:I134"/>
    <mergeCell ref="B6:B7"/>
    <mergeCell ref="F53:F54"/>
    <mergeCell ref="H42:H43"/>
    <mergeCell ref="H189:H190"/>
    <mergeCell ref="A101:A102"/>
    <mergeCell ref="A119:A120"/>
    <mergeCell ref="A189:A190"/>
    <mergeCell ref="A157:A165"/>
    <mergeCell ref="A114:A116"/>
    <mergeCell ref="A146:A149"/>
    <mergeCell ref="F207:F210"/>
    <mergeCell ref="C53:C54"/>
    <mergeCell ref="D53:D54"/>
    <mergeCell ref="E53:E54"/>
    <mergeCell ref="D205:D206"/>
    <mergeCell ref="C205:C206"/>
    <mergeCell ref="C207:C210"/>
    <mergeCell ref="D207:D210"/>
    <mergeCell ref="E207:E210"/>
    <mergeCell ref="E205:E206"/>
    <mergeCell ref="B205:B206"/>
    <mergeCell ref="I194:I197"/>
    <mergeCell ref="A128:A129"/>
    <mergeCell ref="J135:J136"/>
    <mergeCell ref="B207:B210"/>
    <mergeCell ref="J99:J100"/>
    <mergeCell ref="I207:I210"/>
    <mergeCell ref="J207:J210"/>
    <mergeCell ref="F205:F206"/>
    <mergeCell ref="F177:F178"/>
  </mergeCells>
  <printOptions horizontalCentered="1"/>
  <pageMargins left="0.3937007874015748" right="0.3937007874015748" top="0.3937007874015748" bottom="0.3937007874015748" header="0" footer="0.07874015748031496"/>
  <pageSetup fitToHeight="7" fitToWidth="1" horizontalDpi="600" verticalDpi="600" orientation="landscape" paperSize="9" scale="50" r:id="rId3"/>
  <headerFooter>
    <oddHeader>&amp;R&amp;7&amp;P</oddHeader>
    <oddFooter>&amp;C&amp;6&amp;F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j_klymchuk</dc:creator>
  <cp:keywords/>
  <dc:description/>
  <cp:lastModifiedBy>Панасюк Оксана Іванівна</cp:lastModifiedBy>
  <cp:lastPrinted>2022-10-28T09:01:43Z</cp:lastPrinted>
  <dcterms:created xsi:type="dcterms:W3CDTF">2016-02-25T14:42:35Z</dcterms:created>
  <dcterms:modified xsi:type="dcterms:W3CDTF">2023-02-09T10:06:36Z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ac3a6439-feea-4c4f-a1a1-e8555ca31386</vt:lpwstr>
  </property>
  <property fmtid="{D5CDD505-2E9C-101B-9397-08002B2CF9AE}" pid="4" name="_dlc_DocId">
    <vt:lpwstr>MFWF-347-116189</vt:lpwstr>
  </property>
  <property fmtid="{D5CDD505-2E9C-101B-9397-08002B2CF9AE}" pid="5" name="_dlc_DocIdUrl">
    <vt:lpwstr>http://workflow/12000/12100/12130/_layouts/DocIdRedir.aspx?ID=MFWF-347-116189, MFWF-347-116189</vt:lpwstr>
  </property>
</Properties>
</file>