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5.xml" ContentType="application/vnd.openxmlformats-officedocument.spreadsheetml.chartsheet+xml"/>
  <Override PartName="/xl/chartsheets/sheet6.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chartsheets/sheet10.xml" ContentType="application/vnd.openxmlformats-officedocument.spreadsheetml.chartsheet+xml"/>
  <Override PartName="/xl/chartsheets/sheet11.xml" ContentType="application/vnd.openxmlformats-officedocument.spreadsheetml.chart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chartsheets/sheet12.xml" ContentType="application/vnd.openxmlformats-officedocument.spreadsheetml.chartsheet+xml"/>
  <Override PartName="/xl/chartsheets/sheet13.xml" ContentType="application/vnd.openxmlformats-officedocument.spreadsheetml.chartsheet+xml"/>
  <Override PartName="/xl/chartsheets/sheet14.xml" ContentType="application/vnd.openxmlformats-officedocument.spreadsheetml.chartsheet+xml"/>
  <Override PartName="/xl/worksheets/sheet22.xml" ContentType="application/vnd.openxmlformats-officedocument.spreadsheetml.worksheet+xml"/>
  <Override PartName="/xl/worksheets/sheet23.xml" ContentType="application/vnd.openxmlformats-officedocument.spreadsheetml.worksheet+xml"/>
  <Override PartName="/xl/chartsheets/sheet15.xml" ContentType="application/vnd.openxmlformats-officedocument.spreadsheetml.chartsheet+xml"/>
  <Override PartName="/xl/chartsheets/sheet16.xml" ContentType="application/vnd.openxmlformats-officedocument.spreadsheetml.chartsheet+xml"/>
  <Override PartName="/xl/chartsheets/sheet17.xml" ContentType="application/vnd.openxmlformats-officedocument.spreadsheetml.chartsheet+xml"/>
  <Override PartName="/xl/worksheets/sheet24.xml" ContentType="application/vnd.openxmlformats-officedocument.spreadsheetml.worksheet+xml"/>
  <Override PartName="/xl/chartsheets/sheet18.xml" ContentType="application/vnd.openxmlformats-officedocument.spreadsheetml.chartsheet+xml"/>
  <Override PartName="/xl/chartsheets/sheet19.xml" ContentType="application/vnd.openxmlformats-officedocument.spreadsheetml.chartsheet+xml"/>
  <Override PartName="/xl/worksheets/sheet25.xml" ContentType="application/vnd.openxmlformats-officedocument.spreadsheetml.worksheet+xml"/>
  <Override PartName="/xl/chartsheets/sheet20.xml" ContentType="application/vnd.openxmlformats-officedocument.spreadsheetml.chartsheet+xml"/>
  <Override PartName="/xl/chartsheets/sheet21.xml" ContentType="application/vnd.openxmlformats-officedocument.spreadsheetml.chart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chartsheets/sheet22.xml" ContentType="application/vnd.openxmlformats-officedocument.spreadsheetml.chartsheet+xml"/>
  <Override PartName="/xl/worksheets/sheet31.xml" ContentType="application/vnd.openxmlformats-officedocument.spreadsheetml.worksheet+xml"/>
  <Override PartName="/xl/chartsheets/sheet23.xml" ContentType="application/vnd.openxmlformats-officedocument.spreadsheetml.chartsheet+xml"/>
  <Override PartName="/xl/worksheets/sheet32.xml" ContentType="application/vnd.openxmlformats-officedocument.spreadsheetml.worksheet+xml"/>
  <Override PartName="/xl/chartsheets/sheet24.xml" ContentType="application/vnd.openxmlformats-officedocument.spreadsheetml.chartsheet+xml"/>
  <Override PartName="/xl/chartsheets/sheet25.xml" ContentType="application/vnd.openxmlformats-officedocument.spreadsheetml.chart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drawings/drawing13.xml" ContentType="application/vnd.openxmlformats-officedocument.drawing+xml"/>
  <Override PartName="/xl/charts/chart13.xml" ContentType="application/vnd.openxmlformats-officedocument.drawingml.chart+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xml"/>
  <Override PartName="/xl/charts/chart15.xml" ContentType="application/vnd.openxmlformats-officedocument.drawingml.chart+xml"/>
  <Override PartName="/xl/drawings/drawing16.xml" ContentType="application/vnd.openxmlformats-officedocument.drawing+xml"/>
  <Override PartName="/xl/charts/chart16.xml" ContentType="application/vnd.openxmlformats-officedocument.drawingml.chart+xml"/>
  <Override PartName="/xl/drawings/drawing17.xml" ContentType="application/vnd.openxmlformats-officedocument.drawing+xml"/>
  <Override PartName="/xl/charts/chart17.xml" ContentType="application/vnd.openxmlformats-officedocument.drawingml.chart+xml"/>
  <Override PartName="/xl/drawings/drawing18.xml" ContentType="application/vnd.openxmlformats-officedocument.drawing+xml"/>
  <Override PartName="/xl/charts/chart18.xml" ContentType="application/vnd.openxmlformats-officedocument.drawingml.chart+xml"/>
  <Override PartName="/xl/drawings/drawing19.xml" ContentType="application/vnd.openxmlformats-officedocument.drawing+xml"/>
  <Override PartName="/xl/charts/chart19.xml" ContentType="application/vnd.openxmlformats-officedocument.drawingml.chart+xml"/>
  <Override PartName="/xl/drawings/drawing20.xml" ContentType="application/vnd.openxmlformats-officedocument.drawing+xml"/>
  <Override PartName="/xl/charts/chart20.xml" ContentType="application/vnd.openxmlformats-officedocument.drawingml.chart+xml"/>
  <Override PartName="/xl/drawings/drawing21.xml" ContentType="application/vnd.openxmlformats-officedocument.drawing+xml"/>
  <Override PartName="/xl/charts/chart21.xml" ContentType="application/vnd.openxmlformats-officedocument.drawingml.chart+xml"/>
  <Override PartName="/xl/drawings/drawing22.xml" ContentType="application/vnd.openxmlformats-officedocument.drawing+xml"/>
  <Override PartName="/xl/charts/chart22.xml" ContentType="application/vnd.openxmlformats-officedocument.drawingml.chart+xml"/>
  <Override PartName="/xl/drawings/drawing23.xml" ContentType="application/vnd.openxmlformats-officedocument.drawing+xml"/>
  <Override PartName="/xl/charts/chart23.xml" ContentType="application/vnd.openxmlformats-officedocument.drawingml.chart+xml"/>
  <Override PartName="/xl/drawings/drawing24.xml" ContentType="application/vnd.openxmlformats-officedocument.drawing+xml"/>
  <Override PartName="/xl/charts/chart24.xml" ContentType="application/vnd.openxmlformats-officedocument.drawingml.chart+xml"/>
  <Override PartName="/xl/drawings/drawing25.xml" ContentType="application/vnd.openxmlformats-officedocument.drawing+xml"/>
  <Override PartName="/xl/charts/chart2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ЭтаКнига" defaultThemeVersion="124226"/>
  <mc:AlternateContent xmlns:mc="http://schemas.openxmlformats.org/markup-compatibility/2006">
    <mc:Choice Requires="x15">
      <x15ac:absPath xmlns:x15ac="http://schemas.microsoft.com/office/spreadsheetml/2010/11/ac" url="N:\12000\12050\12040\12040\Зовнішній борг\Презентація 2026\серпень 2026\"/>
    </mc:Choice>
  </mc:AlternateContent>
  <xr:revisionPtr revIDLastSave="0" documentId="8_{AC8AC1FA-E42E-4CA5-9E39-1DED283C17A7}" xr6:coauthVersionLast="36" xr6:coauthVersionMax="36" xr10:uidLastSave="{00000000-0000-0000-0000-000000000000}"/>
  <bookViews>
    <workbookView xWindow="120" yWindow="48" windowWidth="15480" windowHeight="11640" tabRatio="917" firstSheet="6" activeTab="6" xr2:uid="{00000000-000D-0000-FFFF-FFFF00000000}"/>
  </bookViews>
  <sheets>
    <sheet name="MK_UAHD" sheetId="37" state="hidden" r:id="rId1"/>
    <sheet name="MK_FCURD" sheetId="36" state="hidden" r:id="rId2"/>
    <sheet name="K_ALLD" sheetId="39" state="hidden" r:id="rId3"/>
    <sheet name="T_ALLD" sheetId="40" state="hidden" r:id="rId4"/>
    <sheet name="MTK2_UAH" sheetId="4" state="hidden" r:id="rId5"/>
    <sheet name="MTK2_FCUR" sheetId="1" state="hidden" r:id="rId6"/>
    <sheet name="MKT2_UAH" sheetId="21" r:id="rId7"/>
    <sheet name="MKT2_FCUR" sheetId="22" r:id="rId8"/>
    <sheet name="MKT2_EUR" sheetId="72" r:id="rId9"/>
    <sheet name="MT_UAHD" sheetId="10" state="hidden" r:id="rId10"/>
    <sheet name="MT_FCURD" sheetId="9" state="hidden" r:id="rId11"/>
    <sheet name="MT_ALL" sheetId="8" state="hidden" r:id="rId12"/>
    <sheet name="MTM_ALL" sheetId="61" state="hidden" r:id="rId13"/>
    <sheet name="MK_ALL" sheetId="19" state="hidden" r:id="rId14"/>
    <sheet name="SRATED" sheetId="53" state="hidden" r:id="rId15"/>
    <sheet name="RATED" sheetId="33" state="hidden" r:id="rId16"/>
    <sheet name="RATEDS" sheetId="62" state="hidden" r:id="rId17"/>
    <sheet name="SRATE_M" sheetId="47" state="hidden" r:id="rId18"/>
    <sheet name="SRATE" sheetId="43" state="hidden" r:id="rId19"/>
    <sheet name="RATE_M" sheetId="46" state="hidden" r:id="rId20"/>
    <sheet name="RATE" sheetId="12" r:id="rId21"/>
    <sheet name="RATE_CMP" sheetId="13" state="hidden" r:id="rId22"/>
    <sheet name="CURD" sheetId="11" state="hidden" r:id="rId23"/>
    <sheet name="CURDS" sheetId="63" state="hidden" r:id="rId24"/>
    <sheet name="CUR_M" sheetId="44" state="hidden" r:id="rId25"/>
    <sheet name="CUR" sheetId="6" r:id="rId26"/>
    <sheet name="CUR_CMP" sheetId="3" state="hidden" r:id="rId27"/>
    <sheet name="CUR_M_EXT" sheetId="45" state="hidden" r:id="rId28"/>
    <sheet name="CUR_CMP_EXT" sheetId="42" state="hidden" r:id="rId29"/>
    <sheet name="DKT1" sheetId="17" state="hidden" r:id="rId30"/>
    <sheet name="DKT2" sheetId="14" r:id="rId31"/>
    <sheet name="DTK2" sheetId="16" r:id="rId32"/>
    <sheet name="DKRD" sheetId="35" state="hidden" r:id="rId33"/>
    <sheet name="DKR2DSTATE" sheetId="66" state="hidden" r:id="rId34"/>
    <sheet name="DKR2DGUAR" sheetId="67" state="hidden" r:id="rId35"/>
    <sheet name="DKR" sheetId="18" state="hidden" r:id="rId36"/>
    <sheet name="DKR2" sheetId="65" state="hidden" r:id="rId37"/>
    <sheet name="YT_ALL_FCUR_D" sheetId="51" state="hidden" r:id="rId38"/>
    <sheet name="YT_ALL_UAH_D" sheetId="60" state="hidden" r:id="rId39"/>
    <sheet name="YT_ALL_PER_D" sheetId="52" state="hidden" r:id="rId40"/>
    <sheet name="YT_ALL" sheetId="32" state="hidden" r:id="rId41"/>
    <sheet name="YTM_ALL_UAH_D" sheetId="48" state="hidden" r:id="rId42"/>
    <sheet name="YTM_ALL_FCUR_D" sheetId="50" state="hidden" r:id="rId43"/>
    <sheet name="YTM_ALL" sheetId="49" state="hidden" r:id="rId44"/>
    <sheet name="YKM_ALL_UAH_D" sheetId="71" state="hidden" r:id="rId45"/>
    <sheet name="YKM_ALL_FCUR_D" sheetId="70" state="hidden" r:id="rId46"/>
    <sheet name="YKM_ALL" sheetId="69" state="hidden" r:id="rId47"/>
    <sheet name="YK_ALL" sheetId="68" state="hidden" r:id="rId48"/>
    <sheet name="YKT2_UAH" sheetId="30" r:id="rId49"/>
    <sheet name="YKT2_FCUR" sheetId="29" r:id="rId50"/>
    <sheet name="YKT2_EUR" sheetId="73" r:id="rId51"/>
    <sheet name="KINDD" sheetId="64" state="hidden" r:id="rId52"/>
    <sheet name="KIND_CMP" sheetId="26" state="hidden" r:id="rId53"/>
    <sheet name="DTRD" sheetId="34" state="hidden" r:id="rId54"/>
    <sheet name="DTR" sheetId="23" state="hidden" r:id="rId55"/>
    <sheet name="DEBT_TERM1" sheetId="57" state="hidden" r:id="rId56"/>
    <sheet name="DEBT_TERM2" sheetId="58" state="hidden" r:id="rId57"/>
    <sheet name="DEBT_TERM" sheetId="55" state="hidden" r:id="rId58"/>
    <sheet name="K_ALL" sheetId="15" state="hidden" r:id="rId59"/>
    <sheet name="T_ALL" sheetId="27" state="hidden" r:id="rId60"/>
    <sheet name="YKT2_PRC" sheetId="31" state="hidden" r:id="rId61"/>
    <sheet name="TBL1" sheetId="54" state="hidden" r:id="rId62"/>
    <sheet name="DATA" sheetId="59" state="hidden" r:id="rId63"/>
    <sheet name="AVGRATE_DETAIL" sheetId="41" state="hidden" r:id="rId64"/>
  </sheets>
  <definedNames>
    <definedName name="AMOUNT_OF_DEBT">DATA!$E$31</definedName>
    <definedName name="AVERAGE_CIRCULATION">DATA!$C$31</definedName>
    <definedName name="AVERAGE_RATE">DATA!$B$31</definedName>
    <definedName name="AVERAGE_TO_REPAYMENT">DATA!$D$31</definedName>
    <definedName name="AVGDTERM">DEBT_TERM!$A$8</definedName>
    <definedName name="BY_AVERAGE_TERM">DATA!$C$15</definedName>
    <definedName name="BY_CREDITOR_TYPE">DATA!$D$16</definedName>
    <definedName name="BY_INTEREST_RATE">DATA!$F$16</definedName>
    <definedName name="BY_REPAYMENT_CURR">DATA!$E$16</definedName>
    <definedName name="CHANGE_OF_STRUCTURE">DATA!$B$22</definedName>
    <definedName name="CK_05">'DKT2'!$A$7</definedName>
    <definedName name="CK_05C6">DKR!$A$11</definedName>
    <definedName name="CK_05G6">DKR!$A$7</definedName>
    <definedName name="CKMDEUR">MKT2_EUR!$A$6</definedName>
    <definedName name="CKMDUAH" localSheetId="8">MKT2_EUR!$A$6</definedName>
    <definedName name="CKMDUAH">MKT2_UAH!$A$6</definedName>
    <definedName name="CKMDUSD">MKT2_FCUR!$A$6</definedName>
    <definedName name="CKMPERC">MK_ALL!$A$18</definedName>
    <definedName name="CKMUAH">MK_ALL!$A$6</definedName>
    <definedName name="CKMUSD">MK_ALL!$A$12</definedName>
    <definedName name="CKPERC" localSheetId="8">MK_ALL!#REF!</definedName>
    <definedName name="CKPERC" localSheetId="50">MK_ALL!#REF!</definedName>
    <definedName name="CKPERC">MK_ALL!#REF!</definedName>
    <definedName name="CKUAH" localSheetId="8">MK_ALL!#REF!</definedName>
    <definedName name="CKUAH" localSheetId="50">MK_ALL!#REF!</definedName>
    <definedName name="CKUAH">MK_ALL!#REF!</definedName>
    <definedName name="CKUSD" localSheetId="8">MK_ALL!#REF!</definedName>
    <definedName name="CKUSD" localSheetId="50">MK_ALL!#REF!</definedName>
    <definedName name="CKUSD">MK_ALL!#REF!</definedName>
    <definedName name="CUR_CMP1">CUR_M_EXT!$A$7</definedName>
    <definedName name="CUR_CMPD4">CUR_M_EXT!$B$5</definedName>
    <definedName name="CUR_CMPD5">CUR_M_EXT!$H$5</definedName>
    <definedName name="CUR_CMPEXT">CUR_CMP_EXT!$A$7</definedName>
    <definedName name="CUR_CMPEXTD4">CUR_CMP_EXT!$B$5</definedName>
    <definedName name="CUR_CMPEXTD5">CUR_CMP_EXT!$H$5</definedName>
    <definedName name="CUR_CMPEXTKD4">CUR_CMP_EXT!$B$24</definedName>
    <definedName name="CUR_CMPEXTKD5">CUR_CMP_EXT!$H$24</definedName>
    <definedName name="CUR_CMPEXTKIND">CUR_CMP_EXT!$A$26</definedName>
    <definedName name="CUR_CMPS1">CUR_CMP!$A$8</definedName>
    <definedName name="CUR_CMPS1D4">CUR_CMP!$B$6</definedName>
    <definedName name="CUR_CMPS1D5">CUR_CMP!$E$6</definedName>
    <definedName name="CUR_CMPS2">CUR_CMP!$A$24</definedName>
    <definedName name="CUR_CMPS2D4">CUR_CMP!$B$22</definedName>
    <definedName name="CUR_CMPS2D5">CUR_CMP!$E$22</definedName>
    <definedName name="CURNAME">CUR_M!$A$7</definedName>
    <definedName name="CURNAMECUR">CUR!$A$7</definedName>
    <definedName name="CURNAMEKIND">CUR!$A$23</definedName>
    <definedName name="DDELIMER">DATA!$B$5</definedName>
    <definedName name="DEBT_AS_OF_CURR_YEAR">DATA!$B$28</definedName>
    <definedName name="DEBT_AS_OF_DATE">DATA!$B$16</definedName>
    <definedName name="DEBT_AS_OF_DATE_BY_AVARAGE_TERM">DATA!$C$16</definedName>
    <definedName name="DEBT_BY_CONVENTIONAKITY">DATA!$B$21</definedName>
    <definedName name="DEBT_BY_RATE_TYPE">DATA!$B$27</definedName>
    <definedName name="DEBT_BY_REPAYMENT">DATA!$B$17</definedName>
    <definedName name="DEBT_CURR_STRUCT">DATA!$B$23</definedName>
    <definedName name="DEBT_LAST_5_YEARS">DATA!$B$15</definedName>
    <definedName name="DEBT_LAST_5_YEARS_PERCENT">DATA!$F$15</definedName>
    <definedName name="DEBT_LAST_5_YEARS_UAH">DATA!$E$15</definedName>
    <definedName name="DEBT_LAST_5_YEARS_USD">DATA!$D$15</definedName>
    <definedName name="DEBT_STATE">DATA!$C$29</definedName>
    <definedName name="DEBT_TOTAL">DATA!$B$29</definedName>
    <definedName name="DKRGUAR" localSheetId="8">'DKR2'!#REF!</definedName>
    <definedName name="DKRGUAR" localSheetId="50">'DKR2'!#REF!</definedName>
    <definedName name="DKRGUAR">'DKR2'!#REF!</definedName>
    <definedName name="DKRSTATE">'DKR2'!$A$8</definedName>
    <definedName name="DKT">'DKT1'!$A$7</definedName>
    <definedName name="DMLMLR">DATA!$F$5</definedName>
    <definedName name="DREPORTDATE">DATA!$B$3</definedName>
    <definedName name="DRUN">DATA!$A$1</definedName>
    <definedName name="DSESSION">DATA!$B$6</definedName>
    <definedName name="DT_05">'DTK2'!$A$7</definedName>
    <definedName name="DTKYPERC">YK_ALL!$A$18</definedName>
    <definedName name="DTKYUAH">YK_ALL!$A$6</definedName>
    <definedName name="DTKYUSD">YK_ALL!$A$12</definedName>
    <definedName name="DTMDUAH">MTK2_UAH!$A$6</definedName>
    <definedName name="DTMDUSD">MTK2_FCUR!$A$6</definedName>
    <definedName name="DTMPERC">MT_ALL!$A$18</definedName>
    <definedName name="DTMUAH">MT_ALL!$A$6</definedName>
    <definedName name="DTMUSD">MT_ALL!$A$12</definedName>
    <definedName name="DTR">DTR!$A$6</definedName>
    <definedName name="DTYPERC" localSheetId="47">YK_ALL!$A$18</definedName>
    <definedName name="DTYPERC">YT_ALL!$A$18</definedName>
    <definedName name="DTYUAH" localSheetId="47">YK_ALL!$A$6</definedName>
    <definedName name="DTYUAH">YT_ALL!$A$6</definedName>
    <definedName name="DTYUSD" localSheetId="47">YK_ALL!$A$12</definedName>
    <definedName name="DTYUSD">YT_ALL!$A$12</definedName>
    <definedName name="EUR">DATA!$B$20</definedName>
    <definedName name="EXCH_RATE_TO_UAH">DATA!$B$26</definedName>
    <definedName name="EXCH_RATE_TO_USD">DATA!$B$25</definedName>
    <definedName name="EXTENDED">DATA!$C$23</definedName>
    <definedName name="INCLUDING">DATA!$B$30</definedName>
    <definedName name="KINDCMP">KIND_CMP!$A$7</definedName>
    <definedName name="KINDKMPD4">KIND_CMP!$B$5</definedName>
    <definedName name="KINDKMPD5">KIND_CMP!$E$5</definedName>
    <definedName name="ORIGINAL">DATA!$B$24</definedName>
    <definedName name="R0" localSheetId="8">#REF!</definedName>
    <definedName name="R0" localSheetId="50">#REF!</definedName>
    <definedName name="R0">#REF!</definedName>
    <definedName name="RATEGROUPKIND">SRATE!$A$14</definedName>
    <definedName name="RATEKIND">SRATE_M!$A$6</definedName>
    <definedName name="RATENAMEALL">RATE_M!$A$7</definedName>
    <definedName name="RATENAMESTRUCT1">RATE!$A$7</definedName>
    <definedName name="RATENAMESTRUCT2">RATE!$A$22</definedName>
    <definedName name="RATENAMESTRUCTCMP">RATE_CMP!$A$7</definedName>
    <definedName name="RATENAMESTRUCTCMP2">RATE_CMP!$A$20</definedName>
    <definedName name="RCMP2D4">RATE_CMP!$B$18</definedName>
    <definedName name="RCMP2D5">RATE_CMP!$E$18</definedName>
    <definedName name="RCMPD4">RATE_CMP!$B$5</definedName>
    <definedName name="RCMPD5">RATE_CMP!$E$5</definedName>
    <definedName name="REPORT_CUR_ENG">DATA!$A$11</definedName>
    <definedName name="REPORT_CUR_UAH">DATA!$A$12</definedName>
    <definedName name="REPORT_CURRENCY" localSheetId="8">DATA!#REF!</definedName>
    <definedName name="REPORT_CURRENCY" localSheetId="50">DATA!#REF!</definedName>
    <definedName name="REPORT_CURRENCY">DATA!#REF!</definedName>
    <definedName name="REPORT_CURRENCY_ENG" localSheetId="8">DATA!#REF!</definedName>
    <definedName name="REPORT_CURRENCY_ENG" localSheetId="50">DATA!#REF!</definedName>
    <definedName name="REPORT_CURRENCY_ENG">DATA!#REF!</definedName>
    <definedName name="REPORT_CURRENCY_UKR" localSheetId="8">DATA!#REF!</definedName>
    <definedName name="REPORT_CURRENCY_UKR" localSheetId="50">DATA!#REF!</definedName>
    <definedName name="REPORT_CURRENCY_UKR">DATA!#REF!</definedName>
    <definedName name="REPORT_CURRTNCY_UKR" localSheetId="8">DATA!#REF!</definedName>
    <definedName name="REPORT_CURRTNCY_UKR" localSheetId="50">DATA!#REF!</definedName>
    <definedName name="REPORT_CURRTNCY_UKR">DATA!#REF!</definedName>
    <definedName name="REPORT_LANG">DATA!$A$10</definedName>
    <definedName name="REPORT_REGIME">DATA!$A$9</definedName>
    <definedName name="SRATED">SRATE!$A$7</definedName>
    <definedName name="STRMAXDATE">DATA!$B$4</definedName>
    <definedName name="STRPRESENTDATE">DATA!$C$3</definedName>
    <definedName name="UAH">DATA!$B$19</definedName>
    <definedName name="USD">DATA!$B$18</definedName>
    <definedName name="VALEUR">DATA!$H$5</definedName>
    <definedName name="VALUAH">DATA!$D$5</definedName>
    <definedName name="VALUSD">DATA!$C$5</definedName>
    <definedName name="VALVAL">DATA!$E$5</definedName>
    <definedName name="YKT2EUR">YKT2_EUR!$A$6</definedName>
    <definedName name="YKT2UAH" localSheetId="50">YKT2_EUR!$A$6</definedName>
    <definedName name="YKT2UAH">YKT2_UAH!$A$6</definedName>
    <definedName name="YKT2USD">YKT2_FCUR!$A$6</definedName>
    <definedName name="YKT2UФР" localSheetId="50">YKT2_EUR!$A$6</definedName>
    <definedName name="YKT2UФР">YKT2_UAH!$A$6</definedName>
  </definedNames>
  <calcPr calcId="191029"/>
</workbook>
</file>

<file path=xl/calcChain.xml><?xml version="1.0" encoding="utf-8"?>
<calcChain xmlns="http://schemas.openxmlformats.org/spreadsheetml/2006/main">
  <c r="E31" i="59" l="1"/>
  <c r="D31" i="59"/>
  <c r="C31" i="59"/>
  <c r="C8" i="55" s="1"/>
  <c r="B31" i="59"/>
  <c r="B8" i="55" s="1"/>
  <c r="B30" i="59"/>
  <c r="C29" i="59"/>
  <c r="B29" i="59"/>
  <c r="B28" i="59"/>
  <c r="B27" i="59"/>
  <c r="B26" i="59"/>
  <c r="B25" i="59"/>
  <c r="B24" i="59"/>
  <c r="C23" i="59"/>
  <c r="B23" i="59"/>
  <c r="B22" i="59"/>
  <c r="B21" i="59"/>
  <c r="A2" i="26" s="1"/>
  <c r="B20" i="59"/>
  <c r="B19" i="59"/>
  <c r="B18" i="59"/>
  <c r="B17" i="59"/>
  <c r="A2" i="23" s="1"/>
  <c r="F16" i="59"/>
  <c r="E16" i="59"/>
  <c r="A3" i="44" s="1"/>
  <c r="D16" i="59"/>
  <c r="C16" i="59"/>
  <c r="B16" i="59"/>
  <c r="F15" i="59"/>
  <c r="E15" i="59"/>
  <c r="D15" i="59"/>
  <c r="C15" i="59"/>
  <c r="B15" i="59"/>
  <c r="A2" i="31" s="1"/>
  <c r="H8" i="59"/>
  <c r="E8" i="59"/>
  <c r="D8" i="59"/>
  <c r="C8" i="59"/>
  <c r="H7" i="59"/>
  <c r="E7" i="59"/>
  <c r="E5" i="59" s="1"/>
  <c r="D7" i="59"/>
  <c r="C7" i="59"/>
  <c r="H5" i="59"/>
  <c r="G5" i="59"/>
  <c r="F5" i="59"/>
  <c r="D5" i="59"/>
  <c r="C5" i="59"/>
  <c r="J61" i="55"/>
  <c r="J60" i="55"/>
  <c r="J59" i="55"/>
  <c r="J58" i="55"/>
  <c r="J57" i="55"/>
  <c r="J56" i="55"/>
  <c r="J55" i="55"/>
  <c r="J54" i="55"/>
  <c r="J53" i="55"/>
  <c r="I53" i="55"/>
  <c r="J52" i="55"/>
  <c r="I52" i="55"/>
  <c r="J51" i="55"/>
  <c r="I51" i="55"/>
  <c r="J50" i="55"/>
  <c r="I50" i="55"/>
  <c r="J49" i="55"/>
  <c r="I49" i="55"/>
  <c r="J48" i="55"/>
  <c r="I48" i="55"/>
  <c r="J47" i="55"/>
  <c r="I47" i="55"/>
  <c r="J46" i="55"/>
  <c r="I46" i="55"/>
  <c r="J45" i="55"/>
  <c r="I45" i="55"/>
  <c r="J44" i="55"/>
  <c r="I44" i="55"/>
  <c r="J43" i="55"/>
  <c r="I43" i="55"/>
  <c r="J42" i="55"/>
  <c r="I42" i="55"/>
  <c r="J41" i="55"/>
  <c r="I41" i="55"/>
  <c r="J40" i="55"/>
  <c r="I40" i="55"/>
  <c r="J39" i="55"/>
  <c r="I39" i="55"/>
  <c r="J38" i="55"/>
  <c r="I38" i="55"/>
  <c r="J37" i="55"/>
  <c r="I37" i="55"/>
  <c r="J36" i="55"/>
  <c r="I36" i="55"/>
  <c r="J35" i="55"/>
  <c r="I35" i="55"/>
  <c r="J34" i="55"/>
  <c r="I34" i="55"/>
  <c r="J33" i="55"/>
  <c r="I33" i="55"/>
  <c r="J32" i="55"/>
  <c r="I32" i="55"/>
  <c r="J31" i="55"/>
  <c r="I31" i="55"/>
  <c r="J30" i="55"/>
  <c r="I30" i="55"/>
  <c r="J29" i="55"/>
  <c r="I29" i="55"/>
  <c r="J28" i="55"/>
  <c r="I28" i="55"/>
  <c r="J27" i="55"/>
  <c r="I27" i="55"/>
  <c r="J26" i="55"/>
  <c r="I26" i="55"/>
  <c r="J25" i="55"/>
  <c r="I25" i="55"/>
  <c r="J24" i="55"/>
  <c r="I24" i="55"/>
  <c r="J23" i="55"/>
  <c r="I23" i="55"/>
  <c r="J22" i="55"/>
  <c r="I22" i="55"/>
  <c r="J21" i="55"/>
  <c r="I21" i="55"/>
  <c r="J20" i="55"/>
  <c r="I20" i="55"/>
  <c r="J19" i="55"/>
  <c r="I19" i="55"/>
  <c r="J18" i="55"/>
  <c r="I18" i="55"/>
  <c r="J17" i="55"/>
  <c r="I17" i="55"/>
  <c r="J16" i="55"/>
  <c r="I16" i="55"/>
  <c r="J15" i="55"/>
  <c r="I15" i="55"/>
  <c r="J14" i="55"/>
  <c r="I14" i="55"/>
  <c r="J13" i="55"/>
  <c r="I13" i="55"/>
  <c r="J12" i="55"/>
  <c r="I12" i="55"/>
  <c r="J11" i="55"/>
  <c r="I11" i="55"/>
  <c r="J10" i="55"/>
  <c r="I10" i="55"/>
  <c r="J9" i="55"/>
  <c r="A9" i="55"/>
  <c r="I9" i="55" s="1"/>
  <c r="D8" i="55"/>
  <c r="A4" i="55"/>
  <c r="A3" i="55"/>
  <c r="E6" i="23"/>
  <c r="D6" i="23"/>
  <c r="C6" i="23"/>
  <c r="B6" i="23"/>
  <c r="D5" i="23"/>
  <c r="C5" i="23"/>
  <c r="B5" i="23"/>
  <c r="I7" i="26"/>
  <c r="G7" i="26"/>
  <c r="F7" i="26"/>
  <c r="E7" i="26"/>
  <c r="D7" i="26"/>
  <c r="C7" i="26"/>
  <c r="B7" i="26"/>
  <c r="F6" i="26"/>
  <c r="E6" i="26"/>
  <c r="G108" i="73"/>
  <c r="F108" i="73"/>
  <c r="E108" i="73"/>
  <c r="D108" i="73"/>
  <c r="C108" i="73"/>
  <c r="B108" i="73"/>
  <c r="G105" i="73"/>
  <c r="F105" i="73"/>
  <c r="E105" i="73"/>
  <c r="D105" i="73"/>
  <c r="C105" i="73"/>
  <c r="B105" i="73"/>
  <c r="G102" i="73"/>
  <c r="F102" i="73"/>
  <c r="E102" i="73"/>
  <c r="D102" i="73"/>
  <c r="C102" i="73"/>
  <c r="B102" i="73"/>
  <c r="G99" i="73"/>
  <c r="F99" i="73"/>
  <c r="E99" i="73"/>
  <c r="D99" i="73"/>
  <c r="C99" i="73"/>
  <c r="B99" i="73"/>
  <c r="B91" i="73" s="1"/>
  <c r="G92" i="73"/>
  <c r="G91" i="73" s="1"/>
  <c r="F92" i="73"/>
  <c r="F91" i="73" s="1"/>
  <c r="E92" i="73"/>
  <c r="D92" i="73"/>
  <c r="D91" i="73" s="1"/>
  <c r="C92" i="73"/>
  <c r="C91" i="73" s="1"/>
  <c r="B92" i="73"/>
  <c r="G89" i="73"/>
  <c r="F89" i="73"/>
  <c r="E89" i="73"/>
  <c r="D89" i="73"/>
  <c r="C89" i="73"/>
  <c r="B89" i="73"/>
  <c r="G81" i="73"/>
  <c r="F81" i="73"/>
  <c r="E81" i="73"/>
  <c r="E73" i="73" s="1"/>
  <c r="D81" i="73"/>
  <c r="C81" i="73"/>
  <c r="B81" i="73"/>
  <c r="G74" i="73"/>
  <c r="G73" i="73" s="1"/>
  <c r="G72" i="73" s="1"/>
  <c r="F74" i="73"/>
  <c r="F73" i="73" s="1"/>
  <c r="E74" i="73"/>
  <c r="D74" i="73"/>
  <c r="D73" i="73" s="1"/>
  <c r="C74" i="73"/>
  <c r="C73" i="73" s="1"/>
  <c r="C72" i="73" s="1"/>
  <c r="B74" i="73"/>
  <c r="D72" i="73"/>
  <c r="G70" i="73"/>
  <c r="F70" i="73"/>
  <c r="E70" i="73"/>
  <c r="D70" i="73"/>
  <c r="C70" i="73"/>
  <c r="B70" i="73"/>
  <c r="G68" i="73"/>
  <c r="F68" i="73"/>
  <c r="E68" i="73"/>
  <c r="D68" i="73"/>
  <c r="C68" i="73"/>
  <c r="B68" i="73"/>
  <c r="G59" i="73"/>
  <c r="F59" i="73"/>
  <c r="E59" i="73"/>
  <c r="D59" i="73"/>
  <c r="C59" i="73"/>
  <c r="B59" i="73"/>
  <c r="G52" i="73"/>
  <c r="F52" i="73"/>
  <c r="E52" i="73"/>
  <c r="D52" i="73"/>
  <c r="C52" i="73"/>
  <c r="B52" i="73"/>
  <c r="G50" i="73"/>
  <c r="F50" i="73"/>
  <c r="E50" i="73"/>
  <c r="D50" i="73"/>
  <c r="C50" i="73"/>
  <c r="B50" i="73"/>
  <c r="G39" i="73"/>
  <c r="F39" i="73"/>
  <c r="E39" i="73"/>
  <c r="D39" i="73"/>
  <c r="C39" i="73"/>
  <c r="B39" i="73"/>
  <c r="G28" i="73"/>
  <c r="F28" i="73"/>
  <c r="E28" i="73"/>
  <c r="E27" i="73" s="1"/>
  <c r="D28" i="73"/>
  <c r="C28" i="73"/>
  <c r="B28" i="73"/>
  <c r="G27" i="73"/>
  <c r="G25" i="73"/>
  <c r="F25" i="73"/>
  <c r="E25" i="73"/>
  <c r="D25" i="73"/>
  <c r="C25" i="73"/>
  <c r="C8" i="73" s="1"/>
  <c r="B25" i="73"/>
  <c r="G9" i="73"/>
  <c r="F9" i="73"/>
  <c r="F8" i="73" s="1"/>
  <c r="E9" i="73"/>
  <c r="E8" i="73" s="1"/>
  <c r="D9" i="73"/>
  <c r="C9" i="73"/>
  <c r="B9" i="73"/>
  <c r="G8" i="73"/>
  <c r="B8" i="73"/>
  <c r="A6" i="73"/>
  <c r="A2" i="73"/>
  <c r="G108" i="29"/>
  <c r="F108" i="29"/>
  <c r="E108" i="29"/>
  <c r="D108" i="29"/>
  <c r="C108" i="29"/>
  <c r="B108" i="29"/>
  <c r="G105" i="29"/>
  <c r="F105" i="29"/>
  <c r="E105" i="29"/>
  <c r="D105" i="29"/>
  <c r="C105" i="29"/>
  <c r="B105" i="29"/>
  <c r="G102" i="29"/>
  <c r="F102" i="29"/>
  <c r="E102" i="29"/>
  <c r="D102" i="29"/>
  <c r="C102" i="29"/>
  <c r="B102" i="29"/>
  <c r="G99" i="29"/>
  <c r="F99" i="29"/>
  <c r="E99" i="29"/>
  <c r="D99" i="29"/>
  <c r="C99" i="29"/>
  <c r="B99" i="29"/>
  <c r="G92" i="29"/>
  <c r="F92" i="29"/>
  <c r="E92" i="29"/>
  <c r="D92" i="29"/>
  <c r="C92" i="29"/>
  <c r="B92" i="29"/>
  <c r="D91" i="29"/>
  <c r="G89" i="29"/>
  <c r="F89" i="29"/>
  <c r="E89" i="29"/>
  <c r="D89" i="29"/>
  <c r="C89" i="29"/>
  <c r="B89" i="29"/>
  <c r="G81" i="29"/>
  <c r="F81" i="29"/>
  <c r="E81" i="29"/>
  <c r="D81" i="29"/>
  <c r="C81" i="29"/>
  <c r="B81" i="29"/>
  <c r="G74" i="29"/>
  <c r="G73" i="29" s="1"/>
  <c r="F74" i="29"/>
  <c r="E74" i="29"/>
  <c r="D74" i="29"/>
  <c r="C74" i="29"/>
  <c r="C73" i="29" s="1"/>
  <c r="B74" i="29"/>
  <c r="G70" i="29"/>
  <c r="F70" i="29"/>
  <c r="E70" i="29"/>
  <c r="D70" i="29"/>
  <c r="C70" i="29"/>
  <c r="B70" i="29"/>
  <c r="G68" i="29"/>
  <c r="F68" i="29"/>
  <c r="E68" i="29"/>
  <c r="D68" i="29"/>
  <c r="C68" i="29"/>
  <c r="B68" i="29"/>
  <c r="G59" i="29"/>
  <c r="F59" i="29"/>
  <c r="E59" i="29"/>
  <c r="D59" i="29"/>
  <c r="C59" i="29"/>
  <c r="B59" i="29"/>
  <c r="G52" i="29"/>
  <c r="F52" i="29"/>
  <c r="E52" i="29"/>
  <c r="D52" i="29"/>
  <c r="C52" i="29"/>
  <c r="B52" i="29"/>
  <c r="G50" i="29"/>
  <c r="F50" i="29"/>
  <c r="E50" i="29"/>
  <c r="D50" i="29"/>
  <c r="C50" i="29"/>
  <c r="B50" i="29"/>
  <c r="G39" i="29"/>
  <c r="F39" i="29"/>
  <c r="E39" i="29"/>
  <c r="D39" i="29"/>
  <c r="C39" i="29"/>
  <c r="B39" i="29"/>
  <c r="G28" i="29"/>
  <c r="F28" i="29"/>
  <c r="E28" i="29"/>
  <c r="E27" i="29" s="1"/>
  <c r="D28" i="29"/>
  <c r="D27" i="29" s="1"/>
  <c r="C28" i="29"/>
  <c r="B28" i="29"/>
  <c r="B27" i="29" s="1"/>
  <c r="B7" i="29" s="1"/>
  <c r="G27" i="29"/>
  <c r="F27" i="29"/>
  <c r="G25" i="29"/>
  <c r="F25" i="29"/>
  <c r="E25" i="29"/>
  <c r="E8" i="29" s="1"/>
  <c r="D25" i="29"/>
  <c r="C25" i="29"/>
  <c r="B25" i="29"/>
  <c r="G9" i="29"/>
  <c r="G8" i="29" s="1"/>
  <c r="F9" i="29"/>
  <c r="E9" i="29"/>
  <c r="D9" i="29"/>
  <c r="C9" i="29"/>
  <c r="C8" i="29" s="1"/>
  <c r="B9" i="29"/>
  <c r="F8" i="29"/>
  <c r="B8" i="29"/>
  <c r="A6" i="29"/>
  <c r="A2" i="29"/>
  <c r="G108" i="30"/>
  <c r="F108" i="30"/>
  <c r="E108" i="30"/>
  <c r="D108" i="30"/>
  <c r="C108" i="30"/>
  <c r="B108" i="30"/>
  <c r="G105" i="30"/>
  <c r="F105" i="30"/>
  <c r="E105" i="30"/>
  <c r="D105" i="30"/>
  <c r="C105" i="30"/>
  <c r="B105" i="30"/>
  <c r="G102" i="30"/>
  <c r="F102" i="30"/>
  <c r="E102" i="30"/>
  <c r="D102" i="30"/>
  <c r="C102" i="30"/>
  <c r="B102" i="30"/>
  <c r="G99" i="30"/>
  <c r="F99" i="30"/>
  <c r="E99" i="30"/>
  <c r="E91" i="30" s="1"/>
  <c r="D99" i="30"/>
  <c r="C99" i="30"/>
  <c r="B99" i="30"/>
  <c r="G92" i="30"/>
  <c r="G91" i="30" s="1"/>
  <c r="F92" i="30"/>
  <c r="F91" i="30" s="1"/>
  <c r="E92" i="30"/>
  <c r="D92" i="30"/>
  <c r="D91" i="30" s="1"/>
  <c r="C92" i="30"/>
  <c r="C91" i="30" s="1"/>
  <c r="B92" i="30"/>
  <c r="B91" i="30" s="1"/>
  <c r="G89" i="30"/>
  <c r="F89" i="30"/>
  <c r="E89" i="30"/>
  <c r="D89" i="30"/>
  <c r="C89" i="30"/>
  <c r="B89" i="30"/>
  <c r="G81" i="30"/>
  <c r="F81" i="30"/>
  <c r="E81" i="30"/>
  <c r="D81" i="30"/>
  <c r="D73" i="30" s="1"/>
  <c r="C81" i="30"/>
  <c r="C73" i="30" s="1"/>
  <c r="B81" i="30"/>
  <c r="G74" i="30"/>
  <c r="F74" i="30"/>
  <c r="F73" i="30" s="1"/>
  <c r="E74" i="30"/>
  <c r="E73" i="30" s="1"/>
  <c r="D74" i="30"/>
  <c r="C74" i="30"/>
  <c r="B74" i="30"/>
  <c r="B73" i="30" s="1"/>
  <c r="B72" i="30" s="1"/>
  <c r="G73" i="30"/>
  <c r="G70" i="30"/>
  <c r="F70" i="30"/>
  <c r="E70" i="30"/>
  <c r="D70" i="30"/>
  <c r="C70" i="30"/>
  <c r="B70" i="30"/>
  <c r="G68" i="30"/>
  <c r="F68" i="30"/>
  <c r="E68" i="30"/>
  <c r="D68" i="30"/>
  <c r="C68" i="30"/>
  <c r="B68" i="30"/>
  <c r="G59" i="30"/>
  <c r="F59" i="30"/>
  <c r="E59" i="30"/>
  <c r="D59" i="30"/>
  <c r="C59" i="30"/>
  <c r="B59" i="30"/>
  <c r="G52" i="30"/>
  <c r="F52" i="30"/>
  <c r="E52" i="30"/>
  <c r="D52" i="30"/>
  <c r="C52" i="30"/>
  <c r="B52" i="30"/>
  <c r="G50" i="30"/>
  <c r="F50" i="30"/>
  <c r="E50" i="30"/>
  <c r="D50" i="30"/>
  <c r="C50" i="30"/>
  <c r="B50" i="30"/>
  <c r="G39" i="30"/>
  <c r="F39" i="30"/>
  <c r="E39" i="30"/>
  <c r="D39" i="30"/>
  <c r="C39" i="30"/>
  <c r="B39" i="30"/>
  <c r="G28" i="30"/>
  <c r="F28" i="30"/>
  <c r="F27" i="30" s="1"/>
  <c r="E28" i="30"/>
  <c r="E27" i="30" s="1"/>
  <c r="D28" i="30"/>
  <c r="C28" i="30"/>
  <c r="B28" i="30"/>
  <c r="B27" i="30" s="1"/>
  <c r="G27" i="30"/>
  <c r="G25" i="30"/>
  <c r="F25" i="30"/>
  <c r="E25" i="30"/>
  <c r="D25" i="30"/>
  <c r="C25" i="30"/>
  <c r="C8" i="30" s="1"/>
  <c r="B25" i="30"/>
  <c r="G9" i="30"/>
  <c r="F9" i="30"/>
  <c r="F8" i="30" s="1"/>
  <c r="E9" i="30"/>
  <c r="E8" i="30" s="1"/>
  <c r="E7" i="30" s="1"/>
  <c r="D9" i="30"/>
  <c r="C9" i="30"/>
  <c r="B9" i="30"/>
  <c r="B8" i="30" s="1"/>
  <c r="B7" i="30" s="1"/>
  <c r="B6" i="30" s="1"/>
  <c r="G8" i="30"/>
  <c r="G7" i="30" s="1"/>
  <c r="A6" i="30"/>
  <c r="A2" i="30"/>
  <c r="G18" i="68"/>
  <c r="F18" i="68"/>
  <c r="E18" i="68"/>
  <c r="D18" i="68"/>
  <c r="C18" i="68"/>
  <c r="B18" i="68"/>
  <c r="G12" i="68"/>
  <c r="F12" i="68"/>
  <c r="E12" i="68"/>
  <c r="D12" i="68"/>
  <c r="C12" i="68"/>
  <c r="B12" i="68"/>
  <c r="G6" i="68"/>
  <c r="F6" i="68"/>
  <c r="E6" i="68"/>
  <c r="D6" i="68"/>
  <c r="C6" i="68"/>
  <c r="B6" i="68"/>
  <c r="A2" i="68"/>
  <c r="G20" i="69"/>
  <c r="F20" i="69"/>
  <c r="E20" i="69"/>
  <c r="D20" i="69"/>
  <c r="C20" i="69"/>
  <c r="B20" i="69"/>
  <c r="B18" i="69" s="1"/>
  <c r="A20" i="69"/>
  <c r="G19" i="69"/>
  <c r="G18" i="69" s="1"/>
  <c r="F19" i="69"/>
  <c r="E19" i="69"/>
  <c r="E18" i="69" s="1"/>
  <c r="D19" i="69"/>
  <c r="C19" i="69"/>
  <c r="C18" i="69" s="1"/>
  <c r="B19" i="69"/>
  <c r="A19" i="69"/>
  <c r="F18" i="69"/>
  <c r="D18" i="69"/>
  <c r="G17" i="69"/>
  <c r="F17" i="69"/>
  <c r="E17" i="69"/>
  <c r="D17" i="69"/>
  <c r="C17" i="69"/>
  <c r="B17" i="69"/>
  <c r="G14" i="69"/>
  <c r="F14" i="69"/>
  <c r="E14" i="69"/>
  <c r="E12" i="69" s="1"/>
  <c r="D14" i="69"/>
  <c r="C14" i="69"/>
  <c r="B14" i="69"/>
  <c r="A14" i="69"/>
  <c r="G13" i="69"/>
  <c r="F13" i="69"/>
  <c r="E13" i="69"/>
  <c r="D13" i="69"/>
  <c r="D12" i="69" s="1"/>
  <c r="C13" i="69"/>
  <c r="C12" i="69" s="1"/>
  <c r="B13" i="69"/>
  <c r="A13" i="69"/>
  <c r="G12" i="69"/>
  <c r="F12" i="69"/>
  <c r="B12" i="69"/>
  <c r="G11" i="69"/>
  <c r="F11" i="69"/>
  <c r="E11" i="69"/>
  <c r="D11" i="69"/>
  <c r="C11" i="69"/>
  <c r="B11" i="69"/>
  <c r="G8" i="69"/>
  <c r="F8" i="69"/>
  <c r="E8" i="69"/>
  <c r="D8" i="69"/>
  <c r="C8" i="69"/>
  <c r="B8" i="69"/>
  <c r="A8" i="69"/>
  <c r="G7" i="69"/>
  <c r="F7" i="69"/>
  <c r="F6" i="69" s="1"/>
  <c r="E7" i="69"/>
  <c r="D7" i="69"/>
  <c r="C7" i="69"/>
  <c r="B7" i="69"/>
  <c r="B6" i="69" s="1"/>
  <c r="A7" i="69"/>
  <c r="E6" i="69"/>
  <c r="A6" i="69"/>
  <c r="G5" i="69"/>
  <c r="F5" i="69"/>
  <c r="E5" i="69"/>
  <c r="D5" i="69"/>
  <c r="C5" i="69"/>
  <c r="B5" i="69"/>
  <c r="A2" i="69"/>
  <c r="G20" i="49"/>
  <c r="F20" i="49"/>
  <c r="E20" i="49"/>
  <c r="D20" i="49"/>
  <c r="C20" i="49"/>
  <c r="B20" i="49"/>
  <c r="B18" i="49" s="1"/>
  <c r="A20" i="49"/>
  <c r="G19" i="49"/>
  <c r="G18" i="49" s="1"/>
  <c r="F19" i="49"/>
  <c r="E19" i="49"/>
  <c r="E18" i="49" s="1"/>
  <c r="D19" i="49"/>
  <c r="C19" i="49"/>
  <c r="C18" i="49" s="1"/>
  <c r="B19" i="49"/>
  <c r="A19" i="49"/>
  <c r="F18" i="49"/>
  <c r="D18" i="49"/>
  <c r="G17" i="49"/>
  <c r="F17" i="49"/>
  <c r="E17" i="49"/>
  <c r="D17" i="49"/>
  <c r="C17" i="49"/>
  <c r="B17" i="49"/>
  <c r="G14" i="49"/>
  <c r="F14" i="49"/>
  <c r="E14" i="49"/>
  <c r="E12" i="49" s="1"/>
  <c r="D14" i="49"/>
  <c r="C14" i="49"/>
  <c r="B14" i="49"/>
  <c r="A14" i="49"/>
  <c r="G13" i="49"/>
  <c r="G12" i="49" s="1"/>
  <c r="F13" i="49"/>
  <c r="E13" i="49"/>
  <c r="D13" i="49"/>
  <c r="C13" i="49"/>
  <c r="C12" i="49" s="1"/>
  <c r="B13" i="49"/>
  <c r="A13" i="49"/>
  <c r="F12" i="49"/>
  <c r="B12" i="49"/>
  <c r="G11" i="49"/>
  <c r="F11" i="49"/>
  <c r="E11" i="49"/>
  <c r="D11" i="49"/>
  <c r="C11" i="49"/>
  <c r="B11" i="49"/>
  <c r="G8" i="49"/>
  <c r="F8" i="49"/>
  <c r="E8" i="49"/>
  <c r="D8" i="49"/>
  <c r="C8" i="49"/>
  <c r="B8" i="49"/>
  <c r="A8" i="49"/>
  <c r="G7" i="49"/>
  <c r="F7" i="49"/>
  <c r="E7" i="49"/>
  <c r="D7" i="49"/>
  <c r="C7" i="49"/>
  <c r="B7" i="49"/>
  <c r="B6" i="49" s="1"/>
  <c r="A7" i="49"/>
  <c r="F6" i="49"/>
  <c r="E6" i="49"/>
  <c r="G5" i="49"/>
  <c r="F5" i="49"/>
  <c r="E5" i="49"/>
  <c r="D5" i="49"/>
  <c r="C5" i="49"/>
  <c r="B5" i="49"/>
  <c r="A2" i="49"/>
  <c r="G18" i="32"/>
  <c r="F18" i="32"/>
  <c r="E18" i="32"/>
  <c r="D18" i="32"/>
  <c r="C18" i="32"/>
  <c r="B18" i="32"/>
  <c r="G12" i="32"/>
  <c r="F12" i="32"/>
  <c r="E12" i="32"/>
  <c r="D12" i="32"/>
  <c r="C12" i="32"/>
  <c r="B12" i="32"/>
  <c r="G6" i="32"/>
  <c r="F6" i="32"/>
  <c r="E6" i="32"/>
  <c r="D6" i="32"/>
  <c r="C6" i="32"/>
  <c r="B6" i="32"/>
  <c r="A2" i="32"/>
  <c r="E17" i="65"/>
  <c r="D17" i="65"/>
  <c r="C17" i="65"/>
  <c r="B17" i="65"/>
  <c r="E9" i="65"/>
  <c r="D9" i="65"/>
  <c r="C9" i="65"/>
  <c r="B9" i="65"/>
  <c r="E8" i="65"/>
  <c r="D8" i="65"/>
  <c r="C8" i="65"/>
  <c r="B8" i="65"/>
  <c r="D7" i="65"/>
  <c r="C7" i="65"/>
  <c r="A3" i="65"/>
  <c r="E7" i="18"/>
  <c r="D7" i="18"/>
  <c r="C7" i="18"/>
  <c r="B7" i="18"/>
  <c r="D6" i="18"/>
  <c r="C6" i="18"/>
  <c r="A3" i="18"/>
  <c r="A2" i="18"/>
  <c r="E90" i="16"/>
  <c r="D90" i="16"/>
  <c r="C90" i="16"/>
  <c r="B90" i="16"/>
  <c r="E88" i="16"/>
  <c r="D88" i="16"/>
  <c r="C88" i="16"/>
  <c r="B88" i="16"/>
  <c r="E86" i="16"/>
  <c r="D86" i="16"/>
  <c r="C86" i="16"/>
  <c r="B86" i="16"/>
  <c r="E83" i="16"/>
  <c r="D83" i="16"/>
  <c r="C83" i="16"/>
  <c r="B83" i="16"/>
  <c r="E76" i="16"/>
  <c r="D76" i="16"/>
  <c r="C76" i="16"/>
  <c r="B76" i="16"/>
  <c r="B75" i="16" s="1"/>
  <c r="E75" i="16"/>
  <c r="D75" i="16"/>
  <c r="E73" i="16"/>
  <c r="D73" i="16"/>
  <c r="C73" i="16"/>
  <c r="B73" i="16"/>
  <c r="E71" i="16"/>
  <c r="D71" i="16"/>
  <c r="C71" i="16"/>
  <c r="B71" i="16"/>
  <c r="E68" i="16"/>
  <c r="D68" i="16"/>
  <c r="C68" i="16"/>
  <c r="B68" i="16"/>
  <c r="E61" i="16"/>
  <c r="D61" i="16"/>
  <c r="C61" i="16"/>
  <c r="B61" i="16"/>
  <c r="E59" i="16"/>
  <c r="D59" i="16"/>
  <c r="C59" i="16"/>
  <c r="B59" i="16"/>
  <c r="E48" i="16"/>
  <c r="D48" i="16"/>
  <c r="C48" i="16"/>
  <c r="B48" i="16"/>
  <c r="E37" i="16"/>
  <c r="D37" i="16"/>
  <c r="C37" i="16"/>
  <c r="C36" i="16" s="1"/>
  <c r="B37" i="16"/>
  <c r="E36" i="16"/>
  <c r="E35" i="16" s="1"/>
  <c r="D36" i="16"/>
  <c r="B36" i="16"/>
  <c r="D35" i="16"/>
  <c r="D7" i="16" s="1"/>
  <c r="E33" i="16"/>
  <c r="D33" i="16"/>
  <c r="C33" i="16"/>
  <c r="B33" i="16"/>
  <c r="E28" i="16"/>
  <c r="D28" i="16"/>
  <c r="C28" i="16"/>
  <c r="B28" i="16"/>
  <c r="E25" i="16"/>
  <c r="D25" i="16"/>
  <c r="C25" i="16"/>
  <c r="B25" i="16"/>
  <c r="E24" i="16"/>
  <c r="D24" i="16"/>
  <c r="C24" i="16"/>
  <c r="B24" i="16"/>
  <c r="E22" i="16"/>
  <c r="D22" i="16"/>
  <c r="C22" i="16"/>
  <c r="B22" i="16"/>
  <c r="E10" i="16"/>
  <c r="D10" i="16"/>
  <c r="C10" i="16"/>
  <c r="C9" i="16" s="1"/>
  <c r="C8" i="16" s="1"/>
  <c r="B10" i="16"/>
  <c r="E9" i="16"/>
  <c r="E8" i="16" s="1"/>
  <c r="D9" i="16"/>
  <c r="B9" i="16"/>
  <c r="B8" i="16" s="1"/>
  <c r="D8" i="16"/>
  <c r="D6" i="16"/>
  <c r="C6" i="16"/>
  <c r="B6" i="16"/>
  <c r="A3" i="16"/>
  <c r="A2" i="16"/>
  <c r="E90" i="14"/>
  <c r="D90" i="14"/>
  <c r="C90" i="14"/>
  <c r="B90" i="14"/>
  <c r="E88" i="14"/>
  <c r="D88" i="14"/>
  <c r="C88" i="14"/>
  <c r="B88" i="14"/>
  <c r="E86" i="14"/>
  <c r="D86" i="14"/>
  <c r="C86" i="14"/>
  <c r="B86" i="14"/>
  <c r="E83" i="14"/>
  <c r="D83" i="14"/>
  <c r="C83" i="14"/>
  <c r="B83" i="14"/>
  <c r="E76" i="14"/>
  <c r="D76" i="14"/>
  <c r="C76" i="14"/>
  <c r="B76" i="14"/>
  <c r="E75" i="14"/>
  <c r="D75" i="14"/>
  <c r="C75" i="14"/>
  <c r="B75" i="14"/>
  <c r="E73" i="14"/>
  <c r="D73" i="14"/>
  <c r="C73" i="14"/>
  <c r="B73" i="14"/>
  <c r="E68" i="14"/>
  <c r="D68" i="14"/>
  <c r="C68" i="14"/>
  <c r="B68" i="14"/>
  <c r="E65" i="14"/>
  <c r="D65" i="14"/>
  <c r="C65" i="14"/>
  <c r="B65" i="14"/>
  <c r="E64" i="14"/>
  <c r="E63" i="14" s="1"/>
  <c r="D64" i="14"/>
  <c r="C64" i="14"/>
  <c r="B64" i="14"/>
  <c r="D63" i="14"/>
  <c r="C63" i="14"/>
  <c r="B63" i="14"/>
  <c r="E61" i="14"/>
  <c r="D61" i="14"/>
  <c r="C61" i="14"/>
  <c r="B61" i="14"/>
  <c r="E59" i="14"/>
  <c r="D59" i="14"/>
  <c r="C59" i="14"/>
  <c r="B59" i="14"/>
  <c r="E56" i="14"/>
  <c r="D56" i="14"/>
  <c r="C56" i="14"/>
  <c r="B56" i="14"/>
  <c r="E49" i="14"/>
  <c r="D49" i="14"/>
  <c r="C49" i="14"/>
  <c r="B49" i="14"/>
  <c r="E47" i="14"/>
  <c r="D47" i="14"/>
  <c r="C47" i="14"/>
  <c r="B47" i="14"/>
  <c r="E36" i="14"/>
  <c r="E24" i="14" s="1"/>
  <c r="D36" i="14"/>
  <c r="C36" i="14"/>
  <c r="B36" i="14"/>
  <c r="E25" i="14"/>
  <c r="D25" i="14"/>
  <c r="C25" i="14"/>
  <c r="B25" i="14"/>
  <c r="D24" i="14"/>
  <c r="C24" i="14"/>
  <c r="B24" i="14"/>
  <c r="E22" i="14"/>
  <c r="D22" i="14"/>
  <c r="C22" i="14"/>
  <c r="B22" i="14"/>
  <c r="E10" i="14"/>
  <c r="E9" i="14" s="1"/>
  <c r="D10" i="14"/>
  <c r="C10" i="14"/>
  <c r="C9" i="14" s="1"/>
  <c r="C8" i="14" s="1"/>
  <c r="C7" i="14" s="1"/>
  <c r="B10" i="14"/>
  <c r="D9" i="14"/>
  <c r="D8" i="14" s="1"/>
  <c r="D7" i="14" s="1"/>
  <c r="B9" i="14"/>
  <c r="B8" i="14"/>
  <c r="B7" i="14"/>
  <c r="C6" i="14"/>
  <c r="A3" i="14"/>
  <c r="A2" i="14"/>
  <c r="E25" i="17"/>
  <c r="D25" i="17"/>
  <c r="C25" i="17"/>
  <c r="B25" i="17"/>
  <c r="E21" i="17"/>
  <c r="D21" i="17"/>
  <c r="C21" i="17"/>
  <c r="B21" i="17"/>
  <c r="E20" i="17"/>
  <c r="D20" i="17"/>
  <c r="C20" i="17"/>
  <c r="B20" i="17"/>
  <c r="E12" i="17"/>
  <c r="D12" i="17"/>
  <c r="C12" i="17"/>
  <c r="B12" i="17"/>
  <c r="E9" i="17"/>
  <c r="D9" i="17"/>
  <c r="C9" i="17"/>
  <c r="B9" i="17"/>
  <c r="E8" i="17"/>
  <c r="D8" i="17"/>
  <c r="C8" i="17"/>
  <c r="B8" i="17"/>
  <c r="E7" i="17"/>
  <c r="D7" i="17"/>
  <c r="C7" i="17"/>
  <c r="B7" i="17"/>
  <c r="D6" i="17"/>
  <c r="C6" i="17"/>
  <c r="B6" i="17"/>
  <c r="A2" i="17"/>
  <c r="N35" i="42"/>
  <c r="N26" i="42" s="1"/>
  <c r="M35" i="42"/>
  <c r="L35" i="42"/>
  <c r="K35" i="42"/>
  <c r="J35" i="42"/>
  <c r="J26" i="42" s="1"/>
  <c r="I35" i="42"/>
  <c r="H35" i="42"/>
  <c r="G35" i="42"/>
  <c r="F35" i="42"/>
  <c r="E35" i="42"/>
  <c r="D35" i="42"/>
  <c r="D26" i="42" s="1"/>
  <c r="C35" i="42"/>
  <c r="B35" i="42"/>
  <c r="B26" i="42" s="1"/>
  <c r="N27" i="42"/>
  <c r="M27" i="42"/>
  <c r="M26" i="42" s="1"/>
  <c r="L27" i="42"/>
  <c r="K27" i="42"/>
  <c r="K26" i="42" s="1"/>
  <c r="J27" i="42"/>
  <c r="I27" i="42"/>
  <c r="I26" i="42" s="1"/>
  <c r="H27" i="42"/>
  <c r="G27" i="42"/>
  <c r="F27" i="42"/>
  <c r="E27" i="42"/>
  <c r="E26" i="42" s="1"/>
  <c r="D27" i="42"/>
  <c r="C27" i="42"/>
  <c r="C26" i="42" s="1"/>
  <c r="B27" i="42"/>
  <c r="L26" i="42"/>
  <c r="H26" i="42"/>
  <c r="G26" i="42"/>
  <c r="F26" i="42"/>
  <c r="L25" i="42"/>
  <c r="F25" i="42"/>
  <c r="D25" i="42"/>
  <c r="C25" i="42"/>
  <c r="M7" i="42"/>
  <c r="L7" i="42"/>
  <c r="K7" i="42"/>
  <c r="G7" i="42"/>
  <c r="F7" i="42"/>
  <c r="E7" i="42"/>
  <c r="N6" i="42"/>
  <c r="L6" i="42"/>
  <c r="F6" i="42"/>
  <c r="D6" i="42"/>
  <c r="B6" i="42"/>
  <c r="A2" i="42"/>
  <c r="N7" i="45"/>
  <c r="M7" i="45"/>
  <c r="L7" i="45"/>
  <c r="K7" i="45"/>
  <c r="G7" i="45"/>
  <c r="F7" i="45"/>
  <c r="E7" i="45"/>
  <c r="L6" i="45"/>
  <c r="J6" i="45"/>
  <c r="D6" i="45"/>
  <c r="A2" i="45"/>
  <c r="H33" i="3"/>
  <c r="G33" i="3"/>
  <c r="F33" i="3"/>
  <c r="E33" i="3"/>
  <c r="D33" i="3"/>
  <c r="C33" i="3"/>
  <c r="B33" i="3"/>
  <c r="H25" i="3"/>
  <c r="H24" i="3" s="1"/>
  <c r="G25" i="3"/>
  <c r="F25" i="3"/>
  <c r="E25" i="3"/>
  <c r="D25" i="3"/>
  <c r="D24" i="3" s="1"/>
  <c r="C25" i="3"/>
  <c r="C24" i="3" s="1"/>
  <c r="B25" i="3"/>
  <c r="G24" i="3"/>
  <c r="F24" i="3"/>
  <c r="B24" i="3"/>
  <c r="F23" i="3"/>
  <c r="B23" i="3"/>
  <c r="H8" i="3"/>
  <c r="G8" i="3"/>
  <c r="F8" i="3"/>
  <c r="E8" i="3"/>
  <c r="D8" i="3"/>
  <c r="C8" i="3"/>
  <c r="B8" i="3"/>
  <c r="C7" i="3"/>
  <c r="B7" i="3"/>
  <c r="A2" i="3"/>
  <c r="E40" i="6"/>
  <c r="D40" i="6"/>
  <c r="C40" i="6"/>
  <c r="B40" i="6"/>
  <c r="E37" i="6"/>
  <c r="D37" i="6"/>
  <c r="C37" i="6"/>
  <c r="B37" i="6"/>
  <c r="E36" i="6"/>
  <c r="D36" i="6"/>
  <c r="C36" i="6"/>
  <c r="B36" i="6"/>
  <c r="E29" i="6"/>
  <c r="D29" i="6"/>
  <c r="C29" i="6"/>
  <c r="B29" i="6"/>
  <c r="E25" i="6"/>
  <c r="D25" i="6"/>
  <c r="C25" i="6"/>
  <c r="B25" i="6"/>
  <c r="E24" i="6"/>
  <c r="D24" i="6"/>
  <c r="C24" i="6"/>
  <c r="B24" i="6"/>
  <c r="E23" i="6"/>
  <c r="D23" i="6"/>
  <c r="C23" i="6"/>
  <c r="B23" i="6"/>
  <c r="D22" i="6"/>
  <c r="C22" i="6"/>
  <c r="A20" i="6"/>
  <c r="E7" i="6"/>
  <c r="D7" i="6"/>
  <c r="C7" i="6"/>
  <c r="B7" i="6"/>
  <c r="D6" i="6"/>
  <c r="C6" i="6"/>
  <c r="A3" i="6"/>
  <c r="A2" i="6"/>
  <c r="E7" i="44"/>
  <c r="D7" i="44"/>
  <c r="C7" i="44"/>
  <c r="B7" i="44"/>
  <c r="A7" i="44"/>
  <c r="C6" i="44"/>
  <c r="A2" i="44"/>
  <c r="H30" i="13"/>
  <c r="G30" i="13"/>
  <c r="F30" i="13"/>
  <c r="E30" i="13"/>
  <c r="D30" i="13"/>
  <c r="C30" i="13"/>
  <c r="C20" i="13" s="1"/>
  <c r="B30" i="13"/>
  <c r="H21" i="13"/>
  <c r="G21" i="13"/>
  <c r="F21" i="13"/>
  <c r="F20" i="13" s="1"/>
  <c r="E21" i="13"/>
  <c r="D21" i="13"/>
  <c r="C21" i="13"/>
  <c r="B21" i="13"/>
  <c r="G20" i="13"/>
  <c r="E20" i="13"/>
  <c r="B20" i="13"/>
  <c r="F19" i="13"/>
  <c r="E19" i="13"/>
  <c r="C19" i="13"/>
  <c r="H7" i="13"/>
  <c r="G7" i="13"/>
  <c r="F7" i="13"/>
  <c r="E7" i="13"/>
  <c r="D7" i="13"/>
  <c r="C7" i="13"/>
  <c r="B7" i="13"/>
  <c r="F6" i="13"/>
  <c r="C6" i="13"/>
  <c r="A2" i="13"/>
  <c r="E32" i="12"/>
  <c r="D32" i="12"/>
  <c r="C32" i="12"/>
  <c r="B32" i="12"/>
  <c r="E23" i="12"/>
  <c r="E22" i="12" s="1"/>
  <c r="D23" i="12"/>
  <c r="C23" i="12"/>
  <c r="B23" i="12"/>
  <c r="D22" i="12"/>
  <c r="C22" i="12"/>
  <c r="B22" i="12"/>
  <c r="A22" i="12"/>
  <c r="D21" i="12"/>
  <c r="C21" i="12"/>
  <c r="B20" i="12"/>
  <c r="A19" i="12"/>
  <c r="E7" i="12"/>
  <c r="D7" i="12"/>
  <c r="C7" i="12"/>
  <c r="B7" i="12"/>
  <c r="D6" i="12"/>
  <c r="C6" i="12"/>
  <c r="B6" i="12"/>
  <c r="A3" i="12"/>
  <c r="A2" i="12"/>
  <c r="E7" i="46"/>
  <c r="D7" i="46"/>
  <c r="C7" i="46"/>
  <c r="B7" i="46"/>
  <c r="A7" i="46"/>
  <c r="C6" i="46"/>
  <c r="A3" i="46"/>
  <c r="A2" i="46"/>
  <c r="E18" i="43"/>
  <c r="D18" i="43"/>
  <c r="C18" i="43"/>
  <c r="B18" i="43"/>
  <c r="E15" i="43"/>
  <c r="D15" i="43"/>
  <c r="C15" i="43"/>
  <c r="B15" i="43"/>
  <c r="E14" i="43"/>
  <c r="D14" i="43"/>
  <c r="C14" i="43"/>
  <c r="B14" i="43"/>
  <c r="D13" i="43"/>
  <c r="C13" i="43"/>
  <c r="A11" i="43"/>
  <c r="E9" i="43"/>
  <c r="D9" i="43"/>
  <c r="D7" i="43" s="1"/>
  <c r="C9" i="43"/>
  <c r="B9" i="43"/>
  <c r="A9" i="43"/>
  <c r="E8" i="43"/>
  <c r="E7" i="43" s="1"/>
  <c r="D8" i="43"/>
  <c r="C8" i="43"/>
  <c r="C7" i="43" s="1"/>
  <c r="B8" i="43"/>
  <c r="A8" i="43"/>
  <c r="B7" i="43"/>
  <c r="D6" i="43"/>
  <c r="C6" i="43"/>
  <c r="A3" i="43"/>
  <c r="A2" i="43"/>
  <c r="E6" i="47"/>
  <c r="D6" i="47"/>
  <c r="C6" i="47"/>
  <c r="B6" i="47"/>
  <c r="D5" i="47"/>
  <c r="C5" i="47"/>
  <c r="A2" i="47"/>
  <c r="J18" i="19"/>
  <c r="I18" i="19"/>
  <c r="H18" i="19"/>
  <c r="G18" i="19"/>
  <c r="F18" i="19"/>
  <c r="E18" i="19"/>
  <c r="D18" i="19"/>
  <c r="C18" i="19"/>
  <c r="B18" i="19"/>
  <c r="J12" i="19"/>
  <c r="I12" i="19"/>
  <c r="H12" i="19"/>
  <c r="G12" i="19"/>
  <c r="F12" i="19"/>
  <c r="E12" i="19"/>
  <c r="D12" i="19"/>
  <c r="C12" i="19"/>
  <c r="B12" i="19"/>
  <c r="J6" i="19"/>
  <c r="I6" i="19"/>
  <c r="H6" i="19"/>
  <c r="G6" i="19"/>
  <c r="F6" i="19"/>
  <c r="E6" i="19"/>
  <c r="D6" i="19"/>
  <c r="C6" i="19"/>
  <c r="B6" i="19"/>
  <c r="J4" i="19"/>
  <c r="J20" i="61"/>
  <c r="I20" i="61"/>
  <c r="H20" i="61"/>
  <c r="G20" i="61"/>
  <c r="F20" i="61"/>
  <c r="E20" i="61"/>
  <c r="D20" i="61"/>
  <c r="C20" i="61"/>
  <c r="B20" i="61"/>
  <c r="A20" i="61"/>
  <c r="J19" i="61"/>
  <c r="I19" i="61"/>
  <c r="H19" i="61"/>
  <c r="H18" i="61" s="1"/>
  <c r="G19" i="61"/>
  <c r="F19" i="61"/>
  <c r="E19" i="61"/>
  <c r="D19" i="61"/>
  <c r="C19" i="61"/>
  <c r="B19" i="61"/>
  <c r="B18" i="61" s="1"/>
  <c r="A19" i="61"/>
  <c r="J17" i="61"/>
  <c r="I17" i="61"/>
  <c r="H17" i="61"/>
  <c r="G17" i="61"/>
  <c r="F17" i="61"/>
  <c r="E17" i="61"/>
  <c r="D17" i="61"/>
  <c r="C17" i="61"/>
  <c r="B17" i="61"/>
  <c r="J14" i="61"/>
  <c r="I14" i="61"/>
  <c r="H14" i="61"/>
  <c r="G14" i="61"/>
  <c r="F14" i="61"/>
  <c r="E14" i="61"/>
  <c r="D14" i="61"/>
  <c r="C14" i="61"/>
  <c r="B14" i="61"/>
  <c r="A14" i="61"/>
  <c r="J13" i="61"/>
  <c r="I13" i="61"/>
  <c r="H13" i="61"/>
  <c r="G13" i="61"/>
  <c r="F13" i="61"/>
  <c r="E13" i="61"/>
  <c r="D13" i="61"/>
  <c r="C13" i="61"/>
  <c r="B13" i="61"/>
  <c r="A13" i="61"/>
  <c r="J11" i="61"/>
  <c r="I11" i="61"/>
  <c r="H11" i="61"/>
  <c r="G11" i="61"/>
  <c r="F11" i="61"/>
  <c r="E11" i="61"/>
  <c r="D11" i="61"/>
  <c r="C11" i="61"/>
  <c r="B11" i="61"/>
  <c r="J10" i="61"/>
  <c r="J8" i="61"/>
  <c r="I8" i="61"/>
  <c r="H8" i="61"/>
  <c r="G8" i="61"/>
  <c r="F8" i="61"/>
  <c r="E8" i="61"/>
  <c r="D8" i="61"/>
  <c r="C8" i="61"/>
  <c r="B8" i="61"/>
  <c r="A8" i="61"/>
  <c r="J7" i="61"/>
  <c r="I7" i="61"/>
  <c r="H7" i="61"/>
  <c r="H6" i="61" s="1"/>
  <c r="G7" i="61"/>
  <c r="F7" i="61"/>
  <c r="F6" i="61" s="1"/>
  <c r="E7" i="61"/>
  <c r="D7" i="61"/>
  <c r="D6" i="61" s="1"/>
  <c r="C7" i="61"/>
  <c r="B7" i="61"/>
  <c r="B6" i="61" s="1"/>
  <c r="A7" i="61"/>
  <c r="J5" i="61"/>
  <c r="I5" i="61"/>
  <c r="H5" i="61"/>
  <c r="G5" i="61"/>
  <c r="F5" i="61"/>
  <c r="E5" i="61"/>
  <c r="D5" i="61"/>
  <c r="C5" i="61"/>
  <c r="B5" i="61"/>
  <c r="J4" i="61"/>
  <c r="J18" i="8"/>
  <c r="I18" i="8"/>
  <c r="H18" i="8"/>
  <c r="G18" i="8"/>
  <c r="F18" i="8"/>
  <c r="E18" i="8"/>
  <c r="D18" i="8"/>
  <c r="C18" i="8"/>
  <c r="B18" i="8"/>
  <c r="J12" i="8"/>
  <c r="I12" i="8"/>
  <c r="H12" i="8"/>
  <c r="G12" i="8"/>
  <c r="F12" i="8"/>
  <c r="E12" i="8"/>
  <c r="D12" i="8"/>
  <c r="C12" i="8"/>
  <c r="B12" i="8"/>
  <c r="J6" i="8"/>
  <c r="I6" i="8"/>
  <c r="H6" i="8"/>
  <c r="G6" i="8"/>
  <c r="F6" i="8"/>
  <c r="E6" i="8"/>
  <c r="D6" i="8"/>
  <c r="C6" i="8"/>
  <c r="B6" i="8"/>
  <c r="J92" i="72"/>
  <c r="I92" i="72"/>
  <c r="H92" i="72"/>
  <c r="G92" i="72"/>
  <c r="F92" i="72"/>
  <c r="E92" i="72"/>
  <c r="D92" i="72"/>
  <c r="C92" i="72"/>
  <c r="B92" i="72"/>
  <c r="J90" i="72"/>
  <c r="I90" i="72"/>
  <c r="H90" i="72"/>
  <c r="G90" i="72"/>
  <c r="F90" i="72"/>
  <c r="E90" i="72"/>
  <c r="D90" i="72"/>
  <c r="C90" i="72"/>
  <c r="B90" i="72"/>
  <c r="J88" i="72"/>
  <c r="I88" i="72"/>
  <c r="H88" i="72"/>
  <c r="G88" i="72"/>
  <c r="F88" i="72"/>
  <c r="E88" i="72"/>
  <c r="D88" i="72"/>
  <c r="C88" i="72"/>
  <c r="B88" i="72"/>
  <c r="J85" i="72"/>
  <c r="I85" i="72"/>
  <c r="H85" i="72"/>
  <c r="G85" i="72"/>
  <c r="F85" i="72"/>
  <c r="E85" i="72"/>
  <c r="D85" i="72"/>
  <c r="C85" i="72"/>
  <c r="B85" i="72"/>
  <c r="J78" i="72"/>
  <c r="I78" i="72"/>
  <c r="H78" i="72"/>
  <c r="G78" i="72"/>
  <c r="F78" i="72"/>
  <c r="E78" i="72"/>
  <c r="D78" i="72"/>
  <c r="C78" i="72"/>
  <c r="B78" i="72"/>
  <c r="J75" i="72"/>
  <c r="I75" i="72"/>
  <c r="H75" i="72"/>
  <c r="G75" i="72"/>
  <c r="F75" i="72"/>
  <c r="E75" i="72"/>
  <c r="D75" i="72"/>
  <c r="C75" i="72"/>
  <c r="B75" i="72"/>
  <c r="J67" i="72"/>
  <c r="I67" i="72"/>
  <c r="I63" i="72" s="1"/>
  <c r="H67" i="72"/>
  <c r="G67" i="72"/>
  <c r="F67" i="72"/>
  <c r="E67" i="72"/>
  <c r="D67" i="72"/>
  <c r="C67" i="72"/>
  <c r="B67" i="72"/>
  <c r="J64" i="72"/>
  <c r="I64" i="72"/>
  <c r="H64" i="72"/>
  <c r="G64" i="72"/>
  <c r="F64" i="72"/>
  <c r="E64" i="72"/>
  <c r="D64" i="72"/>
  <c r="C64" i="72"/>
  <c r="B64" i="72"/>
  <c r="E63" i="72"/>
  <c r="J60" i="72"/>
  <c r="I60" i="72"/>
  <c r="H60" i="72"/>
  <c r="G60" i="72"/>
  <c r="F60" i="72"/>
  <c r="E60" i="72"/>
  <c r="D60" i="72"/>
  <c r="C60" i="72"/>
  <c r="B60" i="72"/>
  <c r="J58" i="72"/>
  <c r="I58" i="72"/>
  <c r="H58" i="72"/>
  <c r="G58" i="72"/>
  <c r="F58" i="72"/>
  <c r="E58" i="72"/>
  <c r="D58" i="72"/>
  <c r="C58" i="72"/>
  <c r="B58" i="72"/>
  <c r="J55" i="72"/>
  <c r="I55" i="72"/>
  <c r="H55" i="72"/>
  <c r="G55" i="72"/>
  <c r="F55" i="72"/>
  <c r="E55" i="72"/>
  <c r="D55" i="72"/>
  <c r="C55" i="72"/>
  <c r="B55" i="72"/>
  <c r="J48" i="72"/>
  <c r="I48" i="72"/>
  <c r="H48" i="72"/>
  <c r="G48" i="72"/>
  <c r="F48" i="72"/>
  <c r="E48" i="72"/>
  <c r="D48" i="72"/>
  <c r="C48" i="72"/>
  <c r="B48" i="72"/>
  <c r="J46" i="72"/>
  <c r="I46" i="72"/>
  <c r="H46" i="72"/>
  <c r="G46" i="72"/>
  <c r="F46" i="72"/>
  <c r="E46" i="72"/>
  <c r="D46" i="72"/>
  <c r="C46" i="72"/>
  <c r="B46" i="72"/>
  <c r="J35" i="72"/>
  <c r="I35" i="72"/>
  <c r="H35" i="72"/>
  <c r="G35" i="72"/>
  <c r="F35" i="72"/>
  <c r="E35" i="72"/>
  <c r="D35" i="72"/>
  <c r="C35" i="72"/>
  <c r="B35" i="72"/>
  <c r="J24" i="72"/>
  <c r="I24" i="72"/>
  <c r="H24" i="72"/>
  <c r="G24" i="72"/>
  <c r="F24" i="72"/>
  <c r="E24" i="72"/>
  <c r="D24" i="72"/>
  <c r="C24" i="72"/>
  <c r="B24" i="72"/>
  <c r="J21" i="72"/>
  <c r="I21" i="72"/>
  <c r="H21" i="72"/>
  <c r="G21" i="72"/>
  <c r="F21" i="72"/>
  <c r="E21" i="72"/>
  <c r="D21" i="72"/>
  <c r="C21" i="72"/>
  <c r="B21" i="72"/>
  <c r="J9" i="72"/>
  <c r="I9" i="72"/>
  <c r="I8" i="72" s="1"/>
  <c r="H9" i="72"/>
  <c r="G9" i="72"/>
  <c r="G8" i="72" s="1"/>
  <c r="F9" i="72"/>
  <c r="E9" i="72"/>
  <c r="E8" i="72" s="1"/>
  <c r="D9" i="72"/>
  <c r="C9" i="72"/>
  <c r="C8" i="72" s="1"/>
  <c r="B9" i="72"/>
  <c r="D8" i="72"/>
  <c r="A6" i="72"/>
  <c r="A2" i="72"/>
  <c r="J92" i="22"/>
  <c r="I92" i="22"/>
  <c r="H92" i="22"/>
  <c r="G92" i="22"/>
  <c r="F92" i="22"/>
  <c r="E92" i="22"/>
  <c r="D92" i="22"/>
  <c r="C92" i="22"/>
  <c r="B92" i="22"/>
  <c r="J90" i="22"/>
  <c r="I90" i="22"/>
  <c r="H90" i="22"/>
  <c r="G90" i="22"/>
  <c r="F90" i="22"/>
  <c r="E90" i="22"/>
  <c r="D90" i="22"/>
  <c r="C90" i="22"/>
  <c r="B90" i="22"/>
  <c r="J88" i="22"/>
  <c r="I88" i="22"/>
  <c r="H88" i="22"/>
  <c r="G88" i="22"/>
  <c r="F88" i="22"/>
  <c r="E88" i="22"/>
  <c r="D88" i="22"/>
  <c r="C88" i="22"/>
  <c r="B88" i="22"/>
  <c r="J85" i="22"/>
  <c r="I85" i="22"/>
  <c r="H85" i="22"/>
  <c r="G85" i="22"/>
  <c r="G77" i="22" s="1"/>
  <c r="F85" i="22"/>
  <c r="E85" i="22"/>
  <c r="D85" i="22"/>
  <c r="C85" i="22"/>
  <c r="B85" i="22"/>
  <c r="J78" i="22"/>
  <c r="I78" i="22"/>
  <c r="H78" i="22"/>
  <c r="G78" i="22"/>
  <c r="F78" i="22"/>
  <c r="F77" i="22" s="1"/>
  <c r="E78" i="22"/>
  <c r="D78" i="22"/>
  <c r="D77" i="22" s="1"/>
  <c r="C78" i="22"/>
  <c r="B78" i="22"/>
  <c r="B77" i="22" s="1"/>
  <c r="J75" i="22"/>
  <c r="I75" i="22"/>
  <c r="H75" i="22"/>
  <c r="G75" i="22"/>
  <c r="F75" i="22"/>
  <c r="E75" i="22"/>
  <c r="D75" i="22"/>
  <c r="C75" i="22"/>
  <c r="B75" i="22"/>
  <c r="J67" i="22"/>
  <c r="I67" i="22"/>
  <c r="H67" i="22"/>
  <c r="G67" i="22"/>
  <c r="G63" i="22" s="1"/>
  <c r="F67" i="22"/>
  <c r="E67" i="22"/>
  <c r="D67" i="22"/>
  <c r="C67" i="22"/>
  <c r="B67" i="22"/>
  <c r="J64" i="22"/>
  <c r="J63" i="22" s="1"/>
  <c r="I64" i="22"/>
  <c r="H64" i="22"/>
  <c r="G64" i="22"/>
  <c r="F64" i="22"/>
  <c r="E64" i="22"/>
  <c r="D64" i="22"/>
  <c r="D63" i="22" s="1"/>
  <c r="D62" i="22" s="1"/>
  <c r="C64" i="22"/>
  <c r="B64" i="22"/>
  <c r="J60" i="22"/>
  <c r="I60" i="22"/>
  <c r="H60" i="22"/>
  <c r="G60" i="22"/>
  <c r="F60" i="22"/>
  <c r="E60" i="22"/>
  <c r="D60" i="22"/>
  <c r="C60" i="22"/>
  <c r="B60" i="22"/>
  <c r="J58" i="22"/>
  <c r="I58" i="22"/>
  <c r="H58" i="22"/>
  <c r="G58" i="22"/>
  <c r="F58" i="22"/>
  <c r="E58" i="22"/>
  <c r="D58" i="22"/>
  <c r="C58" i="22"/>
  <c r="B58" i="22"/>
  <c r="J55" i="22"/>
  <c r="I55" i="22"/>
  <c r="H55" i="22"/>
  <c r="G55" i="22"/>
  <c r="F55" i="22"/>
  <c r="E55" i="22"/>
  <c r="D55" i="22"/>
  <c r="C55" i="22"/>
  <c r="B55" i="22"/>
  <c r="J48" i="22"/>
  <c r="I48" i="22"/>
  <c r="H48" i="22"/>
  <c r="G48" i="22"/>
  <c r="F48" i="22"/>
  <c r="E48" i="22"/>
  <c r="D48" i="22"/>
  <c r="C48" i="22"/>
  <c r="B48" i="22"/>
  <c r="J46" i="22"/>
  <c r="I46" i="22"/>
  <c r="H46" i="22"/>
  <c r="G46" i="22"/>
  <c r="F46" i="22"/>
  <c r="E46" i="22"/>
  <c r="D46" i="22"/>
  <c r="C46" i="22"/>
  <c r="B46" i="22"/>
  <c r="J35" i="22"/>
  <c r="I35" i="22"/>
  <c r="H35" i="22"/>
  <c r="G35" i="22"/>
  <c r="F35" i="22"/>
  <c r="E35" i="22"/>
  <c r="D35" i="22"/>
  <c r="C35" i="22"/>
  <c r="B35" i="22"/>
  <c r="J24" i="22"/>
  <c r="I24" i="22"/>
  <c r="H24" i="22"/>
  <c r="G24" i="22"/>
  <c r="F24" i="22"/>
  <c r="E24" i="22"/>
  <c r="D24" i="22"/>
  <c r="C24" i="22"/>
  <c r="B24" i="22"/>
  <c r="J21" i="22"/>
  <c r="I21" i="22"/>
  <c r="H21" i="22"/>
  <c r="G21" i="22"/>
  <c r="F21" i="22"/>
  <c r="E21" i="22"/>
  <c r="D21" i="22"/>
  <c r="C21" i="22"/>
  <c r="B21" i="22"/>
  <c r="J9" i="22"/>
  <c r="I9" i="22"/>
  <c r="H9" i="22"/>
  <c r="G9" i="22"/>
  <c r="F9" i="22"/>
  <c r="E9" i="22"/>
  <c r="D9" i="22"/>
  <c r="C9" i="22"/>
  <c r="B9" i="22"/>
  <c r="A6" i="22"/>
  <c r="A2" i="22"/>
  <c r="J92" i="21"/>
  <c r="I92" i="21"/>
  <c r="H92" i="21"/>
  <c r="G92" i="21"/>
  <c r="F92" i="21"/>
  <c r="E92" i="21"/>
  <c r="D92" i="21"/>
  <c r="C92" i="21"/>
  <c r="B92" i="21"/>
  <c r="J90" i="21"/>
  <c r="I90" i="21"/>
  <c r="H90" i="21"/>
  <c r="G90" i="21"/>
  <c r="F90" i="21"/>
  <c r="E90" i="21"/>
  <c r="D90" i="21"/>
  <c r="C90" i="21"/>
  <c r="B90" i="21"/>
  <c r="J88" i="21"/>
  <c r="I88" i="21"/>
  <c r="H88" i="21"/>
  <c r="G88" i="21"/>
  <c r="F88" i="21"/>
  <c r="E88" i="21"/>
  <c r="D88" i="21"/>
  <c r="C88" i="21"/>
  <c r="B88" i="21"/>
  <c r="J85" i="21"/>
  <c r="I85" i="21"/>
  <c r="H85" i="21"/>
  <c r="G85" i="21"/>
  <c r="F85" i="21"/>
  <c r="E85" i="21"/>
  <c r="D85" i="21"/>
  <c r="C85" i="21"/>
  <c r="B85" i="21"/>
  <c r="J78" i="21"/>
  <c r="I78" i="21"/>
  <c r="H78" i="21"/>
  <c r="G78" i="21"/>
  <c r="F78" i="21"/>
  <c r="F77" i="21" s="1"/>
  <c r="E78" i="21"/>
  <c r="D78" i="21"/>
  <c r="C78" i="21"/>
  <c r="B78" i="21"/>
  <c r="B77" i="21" s="1"/>
  <c r="J75" i="21"/>
  <c r="I75" i="21"/>
  <c r="H75" i="21"/>
  <c r="G75" i="21"/>
  <c r="F75" i="21"/>
  <c r="E75" i="21"/>
  <c r="D75" i="21"/>
  <c r="C75" i="21"/>
  <c r="B75" i="21"/>
  <c r="J67" i="21"/>
  <c r="I67" i="21"/>
  <c r="H67" i="21"/>
  <c r="G67" i="21"/>
  <c r="F67" i="21"/>
  <c r="E67" i="21"/>
  <c r="D67" i="21"/>
  <c r="C67" i="21"/>
  <c r="B67" i="21"/>
  <c r="J64" i="21"/>
  <c r="I64" i="21"/>
  <c r="H64" i="21"/>
  <c r="G64" i="21"/>
  <c r="F64" i="21"/>
  <c r="E64" i="21"/>
  <c r="D64" i="21"/>
  <c r="C64" i="21"/>
  <c r="C63" i="21" s="1"/>
  <c r="B64" i="21"/>
  <c r="F63" i="21"/>
  <c r="J60" i="21"/>
  <c r="I60" i="21"/>
  <c r="H60" i="21"/>
  <c r="G60" i="21"/>
  <c r="F60" i="21"/>
  <c r="E60" i="21"/>
  <c r="D60" i="21"/>
  <c r="C60" i="21"/>
  <c r="B60" i="21"/>
  <c r="J58" i="21"/>
  <c r="I58" i="21"/>
  <c r="H58" i="21"/>
  <c r="G58" i="21"/>
  <c r="F58" i="21"/>
  <c r="E58" i="21"/>
  <c r="D58" i="21"/>
  <c r="C58" i="21"/>
  <c r="B58" i="21"/>
  <c r="J55" i="21"/>
  <c r="I55" i="21"/>
  <c r="H55" i="21"/>
  <c r="G55" i="21"/>
  <c r="F55" i="21"/>
  <c r="E55" i="21"/>
  <c r="D55" i="21"/>
  <c r="C55" i="21"/>
  <c r="B55" i="21"/>
  <c r="J48" i="21"/>
  <c r="I48" i="21"/>
  <c r="H48" i="21"/>
  <c r="G48" i="21"/>
  <c r="F48" i="21"/>
  <c r="E48" i="21"/>
  <c r="D48" i="21"/>
  <c r="C48" i="21"/>
  <c r="B48" i="21"/>
  <c r="J46" i="21"/>
  <c r="I46" i="21"/>
  <c r="H46" i="21"/>
  <c r="G46" i="21"/>
  <c r="F46" i="21"/>
  <c r="E46" i="21"/>
  <c r="D46" i="21"/>
  <c r="C46" i="21"/>
  <c r="B46" i="21"/>
  <c r="J35" i="21"/>
  <c r="I35" i="21"/>
  <c r="H35" i="21"/>
  <c r="G35" i="21"/>
  <c r="F35" i="21"/>
  <c r="E35" i="21"/>
  <c r="D35" i="21"/>
  <c r="C35" i="21"/>
  <c r="B35" i="21"/>
  <c r="J24" i="21"/>
  <c r="I24" i="21"/>
  <c r="H24" i="21"/>
  <c r="G24" i="21"/>
  <c r="G23" i="21" s="1"/>
  <c r="F24" i="21"/>
  <c r="E24" i="21"/>
  <c r="D24" i="21"/>
  <c r="C24" i="21"/>
  <c r="C23" i="21" s="1"/>
  <c r="B24" i="21"/>
  <c r="J21" i="21"/>
  <c r="I21" i="21"/>
  <c r="H21" i="21"/>
  <c r="G21" i="21"/>
  <c r="F21" i="21"/>
  <c r="E21" i="21"/>
  <c r="D21" i="21"/>
  <c r="C21" i="21"/>
  <c r="B21" i="21"/>
  <c r="J9" i="21"/>
  <c r="I9" i="21"/>
  <c r="H9" i="21"/>
  <c r="G9" i="21"/>
  <c r="G8" i="21" s="1"/>
  <c r="F9" i="21"/>
  <c r="E9" i="21"/>
  <c r="D9" i="21"/>
  <c r="C9" i="21"/>
  <c r="B9" i="21"/>
  <c r="C8" i="21"/>
  <c r="A6" i="21"/>
  <c r="J4" i="21"/>
  <c r="A2" i="21"/>
  <c r="J92" i="1"/>
  <c r="I92" i="1"/>
  <c r="H92" i="1"/>
  <c r="G92" i="1"/>
  <c r="F92" i="1"/>
  <c r="E92" i="1"/>
  <c r="D92" i="1"/>
  <c r="C92" i="1"/>
  <c r="B92" i="1"/>
  <c r="J90" i="1"/>
  <c r="I90" i="1"/>
  <c r="H90" i="1"/>
  <c r="G90" i="1"/>
  <c r="F90" i="1"/>
  <c r="E90" i="1"/>
  <c r="D90" i="1"/>
  <c r="C90" i="1"/>
  <c r="B90" i="1"/>
  <c r="J88" i="1"/>
  <c r="I88" i="1"/>
  <c r="H88" i="1"/>
  <c r="G88" i="1"/>
  <c r="F88" i="1"/>
  <c r="E88" i="1"/>
  <c r="D88" i="1"/>
  <c r="C88" i="1"/>
  <c r="B88" i="1"/>
  <c r="J85" i="1"/>
  <c r="I85" i="1"/>
  <c r="H85" i="1"/>
  <c r="G85" i="1"/>
  <c r="F85" i="1"/>
  <c r="E85" i="1"/>
  <c r="D85" i="1"/>
  <c r="C85" i="1"/>
  <c r="B85" i="1"/>
  <c r="J78" i="1"/>
  <c r="I78" i="1"/>
  <c r="H78" i="1"/>
  <c r="G78" i="1"/>
  <c r="F78" i="1"/>
  <c r="E78" i="1"/>
  <c r="E77" i="1" s="1"/>
  <c r="D78" i="1"/>
  <c r="C78" i="1"/>
  <c r="B78" i="1"/>
  <c r="G77" i="1"/>
  <c r="J75" i="1"/>
  <c r="I75" i="1"/>
  <c r="H75" i="1"/>
  <c r="G75" i="1"/>
  <c r="F75" i="1"/>
  <c r="E75" i="1"/>
  <c r="D75" i="1"/>
  <c r="C75" i="1"/>
  <c r="B75" i="1"/>
  <c r="J73" i="1"/>
  <c r="I73" i="1"/>
  <c r="H73" i="1"/>
  <c r="G73" i="1"/>
  <c r="F73" i="1"/>
  <c r="E73" i="1"/>
  <c r="D73" i="1"/>
  <c r="C73" i="1"/>
  <c r="B73" i="1"/>
  <c r="J70" i="1"/>
  <c r="I70" i="1"/>
  <c r="H70" i="1"/>
  <c r="G70" i="1"/>
  <c r="F70" i="1"/>
  <c r="E70" i="1"/>
  <c r="D70" i="1"/>
  <c r="C70" i="1"/>
  <c r="B70" i="1"/>
  <c r="J63" i="1"/>
  <c r="I63" i="1"/>
  <c r="H63" i="1"/>
  <c r="G63" i="1"/>
  <c r="F63" i="1"/>
  <c r="E63" i="1"/>
  <c r="D63" i="1"/>
  <c r="C63" i="1"/>
  <c r="B63" i="1"/>
  <c r="J61" i="1"/>
  <c r="I61" i="1"/>
  <c r="H61" i="1"/>
  <c r="G61" i="1"/>
  <c r="F61" i="1"/>
  <c r="E61" i="1"/>
  <c r="D61" i="1"/>
  <c r="C61" i="1"/>
  <c r="B61" i="1"/>
  <c r="J50" i="1"/>
  <c r="I50" i="1"/>
  <c r="H50" i="1"/>
  <c r="G50" i="1"/>
  <c r="F50" i="1"/>
  <c r="E50" i="1"/>
  <c r="D50" i="1"/>
  <c r="C50" i="1"/>
  <c r="B50" i="1"/>
  <c r="J39" i="1"/>
  <c r="I39" i="1"/>
  <c r="H39" i="1"/>
  <c r="G39" i="1"/>
  <c r="F39" i="1"/>
  <c r="E39" i="1"/>
  <c r="D39" i="1"/>
  <c r="C39" i="1"/>
  <c r="B39" i="1"/>
  <c r="B38" i="1"/>
  <c r="J35" i="1"/>
  <c r="I35" i="1"/>
  <c r="H35" i="1"/>
  <c r="G35" i="1"/>
  <c r="F35" i="1"/>
  <c r="E35" i="1"/>
  <c r="D35" i="1"/>
  <c r="C35" i="1"/>
  <c r="B35" i="1"/>
  <c r="J27" i="1"/>
  <c r="I27" i="1"/>
  <c r="H27" i="1"/>
  <c r="G27" i="1"/>
  <c r="F27" i="1"/>
  <c r="E27" i="1"/>
  <c r="D27" i="1"/>
  <c r="C27" i="1"/>
  <c r="B27" i="1"/>
  <c r="J24" i="1"/>
  <c r="I24" i="1"/>
  <c r="H24" i="1"/>
  <c r="G24" i="1"/>
  <c r="G23" i="1" s="1"/>
  <c r="F24" i="1"/>
  <c r="E24" i="1"/>
  <c r="D24" i="1"/>
  <c r="C24" i="1"/>
  <c r="C23" i="1" s="1"/>
  <c r="B24" i="1"/>
  <c r="J21" i="1"/>
  <c r="I21" i="1"/>
  <c r="H21" i="1"/>
  <c r="G21" i="1"/>
  <c r="F21" i="1"/>
  <c r="E21" i="1"/>
  <c r="D21" i="1"/>
  <c r="C21" i="1"/>
  <c r="B21" i="1"/>
  <c r="J9" i="1"/>
  <c r="I9" i="1"/>
  <c r="H9" i="1"/>
  <c r="G9" i="1"/>
  <c r="G8" i="1" s="1"/>
  <c r="F9" i="1"/>
  <c r="E9" i="1"/>
  <c r="D9" i="1"/>
  <c r="C9" i="1"/>
  <c r="B9" i="1"/>
  <c r="A6" i="1"/>
  <c r="J4" i="1"/>
  <c r="J92" i="4"/>
  <c r="I92" i="4"/>
  <c r="H92" i="4"/>
  <c r="G92" i="4"/>
  <c r="F92" i="4"/>
  <c r="E92" i="4"/>
  <c r="D92" i="4"/>
  <c r="C92" i="4"/>
  <c r="B92" i="4"/>
  <c r="J90" i="4"/>
  <c r="I90" i="4"/>
  <c r="H90" i="4"/>
  <c r="G90" i="4"/>
  <c r="F90" i="4"/>
  <c r="E90" i="4"/>
  <c r="D90" i="4"/>
  <c r="C90" i="4"/>
  <c r="B90" i="4"/>
  <c r="J88" i="4"/>
  <c r="I88" i="4"/>
  <c r="H88" i="4"/>
  <c r="G88" i="4"/>
  <c r="F88" i="4"/>
  <c r="E88" i="4"/>
  <c r="D88" i="4"/>
  <c r="C88" i="4"/>
  <c r="B88" i="4"/>
  <c r="J85" i="4"/>
  <c r="I85" i="4"/>
  <c r="H85" i="4"/>
  <c r="G85" i="4"/>
  <c r="F85" i="4"/>
  <c r="E85" i="4"/>
  <c r="D85" i="4"/>
  <c r="C85" i="4"/>
  <c r="B85" i="4"/>
  <c r="J78" i="4"/>
  <c r="I78" i="4"/>
  <c r="H78" i="4"/>
  <c r="H77" i="4" s="1"/>
  <c r="G78" i="4"/>
  <c r="F78" i="4"/>
  <c r="E78" i="4"/>
  <c r="D78" i="4"/>
  <c r="C78" i="4"/>
  <c r="B78" i="4"/>
  <c r="J75" i="4"/>
  <c r="I75" i="4"/>
  <c r="H75" i="4"/>
  <c r="G75" i="4"/>
  <c r="F75" i="4"/>
  <c r="E75" i="4"/>
  <c r="D75" i="4"/>
  <c r="C75" i="4"/>
  <c r="B75" i="4"/>
  <c r="J73" i="4"/>
  <c r="I73" i="4"/>
  <c r="H73" i="4"/>
  <c r="G73" i="4"/>
  <c r="F73" i="4"/>
  <c r="E73" i="4"/>
  <c r="D73" i="4"/>
  <c r="C73" i="4"/>
  <c r="B73" i="4"/>
  <c r="J70" i="4"/>
  <c r="I70" i="4"/>
  <c r="H70" i="4"/>
  <c r="G70" i="4"/>
  <c r="F70" i="4"/>
  <c r="E70" i="4"/>
  <c r="D70" i="4"/>
  <c r="C70" i="4"/>
  <c r="B70" i="4"/>
  <c r="J63" i="4"/>
  <c r="I63" i="4"/>
  <c r="H63" i="4"/>
  <c r="G63" i="4"/>
  <c r="F63" i="4"/>
  <c r="E63" i="4"/>
  <c r="D63" i="4"/>
  <c r="C63" i="4"/>
  <c r="B63" i="4"/>
  <c r="J61" i="4"/>
  <c r="I61" i="4"/>
  <c r="H61" i="4"/>
  <c r="G61" i="4"/>
  <c r="F61" i="4"/>
  <c r="E61" i="4"/>
  <c r="D61" i="4"/>
  <c r="C61" i="4"/>
  <c r="B61" i="4"/>
  <c r="J50" i="4"/>
  <c r="I50" i="4"/>
  <c r="H50" i="4"/>
  <c r="G50" i="4"/>
  <c r="F50" i="4"/>
  <c r="E50" i="4"/>
  <c r="D50" i="4"/>
  <c r="C50" i="4"/>
  <c r="B50" i="4"/>
  <c r="J39" i="4"/>
  <c r="J38" i="4" s="1"/>
  <c r="I39" i="4"/>
  <c r="H39" i="4"/>
  <c r="G39" i="4"/>
  <c r="F39" i="4"/>
  <c r="E39" i="4"/>
  <c r="D39" i="4"/>
  <c r="C39" i="4"/>
  <c r="B39" i="4"/>
  <c r="J35" i="4"/>
  <c r="I35" i="4"/>
  <c r="H35" i="4"/>
  <c r="G35" i="4"/>
  <c r="F35" i="4"/>
  <c r="E35" i="4"/>
  <c r="D35" i="4"/>
  <c r="C35" i="4"/>
  <c r="B35" i="4"/>
  <c r="J27" i="4"/>
  <c r="I27" i="4"/>
  <c r="H27" i="4"/>
  <c r="G27" i="4"/>
  <c r="F27" i="4"/>
  <c r="E27" i="4"/>
  <c r="D27" i="4"/>
  <c r="C27" i="4"/>
  <c r="B27" i="4"/>
  <c r="J24" i="4"/>
  <c r="I24" i="4"/>
  <c r="H24" i="4"/>
  <c r="G24" i="4"/>
  <c r="F24" i="4"/>
  <c r="E24" i="4"/>
  <c r="D24" i="4"/>
  <c r="C24" i="4"/>
  <c r="B24" i="4"/>
  <c r="B23" i="4" s="1"/>
  <c r="J21" i="4"/>
  <c r="I21" i="4"/>
  <c r="H21" i="4"/>
  <c r="G21" i="4"/>
  <c r="F21" i="4"/>
  <c r="E21" i="4"/>
  <c r="D21" i="4"/>
  <c r="C21" i="4"/>
  <c r="B21" i="4"/>
  <c r="J9" i="4"/>
  <c r="I9" i="4"/>
  <c r="H9" i="4"/>
  <c r="G9" i="4"/>
  <c r="F9" i="4"/>
  <c r="E9" i="4"/>
  <c r="D9" i="4"/>
  <c r="C9" i="4"/>
  <c r="B9" i="4"/>
  <c r="J4" i="4"/>
  <c r="C27" i="73" l="1"/>
  <c r="B73" i="73"/>
  <c r="B72" i="73" s="1"/>
  <c r="E72" i="73"/>
  <c r="B27" i="73"/>
  <c r="B7" i="73" s="1"/>
  <c r="B6" i="73" s="1"/>
  <c r="F27" i="73"/>
  <c r="D27" i="73"/>
  <c r="D8" i="73"/>
  <c r="E91" i="73"/>
  <c r="G7" i="29"/>
  <c r="C27" i="29"/>
  <c r="C7" i="29" s="1"/>
  <c r="C6" i="29" s="1"/>
  <c r="F7" i="29"/>
  <c r="B73" i="29"/>
  <c r="F73" i="29"/>
  <c r="D73" i="29"/>
  <c r="D72" i="29" s="1"/>
  <c r="D6" i="29" s="1"/>
  <c r="C91" i="29"/>
  <c r="C72" i="29" s="1"/>
  <c r="G91" i="29"/>
  <c r="G72" i="29" s="1"/>
  <c r="E91" i="29"/>
  <c r="D8" i="29"/>
  <c r="D7" i="29" s="1"/>
  <c r="E73" i="29"/>
  <c r="B91" i="29"/>
  <c r="F91" i="29"/>
  <c r="F7" i="30"/>
  <c r="D8" i="30"/>
  <c r="D7" i="30" s="1"/>
  <c r="F72" i="30"/>
  <c r="G72" i="30"/>
  <c r="D27" i="30"/>
  <c r="C27" i="30"/>
  <c r="C7" i="30" s="1"/>
  <c r="C6" i="30" s="1"/>
  <c r="E7" i="16"/>
  <c r="B35" i="16"/>
  <c r="B7" i="16" s="1"/>
  <c r="C75" i="16"/>
  <c r="E8" i="14"/>
  <c r="E7" i="14" s="1"/>
  <c r="H8" i="72"/>
  <c r="C77" i="72"/>
  <c r="G77" i="72"/>
  <c r="F77" i="72"/>
  <c r="E23" i="72"/>
  <c r="E7" i="72" s="1"/>
  <c r="D23" i="72"/>
  <c r="H23" i="72"/>
  <c r="D63" i="72"/>
  <c r="H63" i="72"/>
  <c r="E77" i="72"/>
  <c r="I23" i="72"/>
  <c r="B8" i="72"/>
  <c r="J23" i="72"/>
  <c r="H77" i="72"/>
  <c r="H62" i="72" s="1"/>
  <c r="B23" i="72"/>
  <c r="B7" i="72" s="1"/>
  <c r="J77" i="72"/>
  <c r="I77" i="72"/>
  <c r="I62" i="72" s="1"/>
  <c r="F23" i="72"/>
  <c r="J8" i="72"/>
  <c r="C23" i="72"/>
  <c r="G23" i="72"/>
  <c r="B77" i="72"/>
  <c r="F8" i="72"/>
  <c r="E62" i="72"/>
  <c r="J8" i="21"/>
  <c r="B8" i="21"/>
  <c r="F8" i="21"/>
  <c r="J63" i="21"/>
  <c r="G7" i="21"/>
  <c r="E8" i="21"/>
  <c r="I8" i="21"/>
  <c r="D23" i="21"/>
  <c r="J23" i="21"/>
  <c r="J7" i="21" s="1"/>
  <c r="G77" i="21"/>
  <c r="C7" i="21"/>
  <c r="E63" i="21"/>
  <c r="I63" i="21"/>
  <c r="J77" i="21"/>
  <c r="B23" i="21"/>
  <c r="B7" i="21" s="1"/>
  <c r="F23" i="21"/>
  <c r="B63" i="21"/>
  <c r="B62" i="21" s="1"/>
  <c r="H23" i="21"/>
  <c r="E23" i="21"/>
  <c r="E7" i="21" s="1"/>
  <c r="I23" i="21"/>
  <c r="H63" i="21"/>
  <c r="C77" i="21"/>
  <c r="C62" i="21" s="1"/>
  <c r="C6" i="21" s="1"/>
  <c r="D63" i="21"/>
  <c r="D8" i="21"/>
  <c r="H8" i="21"/>
  <c r="G63" i="21"/>
  <c r="G62" i="21" s="1"/>
  <c r="G6" i="21" s="1"/>
  <c r="C77" i="22"/>
  <c r="C8" i="22"/>
  <c r="G8" i="22"/>
  <c r="G62" i="22"/>
  <c r="B63" i="22"/>
  <c r="B62" i="22" s="1"/>
  <c r="J77" i="22"/>
  <c r="F63" i="22"/>
  <c r="F62" i="22" s="1"/>
  <c r="D23" i="22"/>
  <c r="B8" i="22"/>
  <c r="F8" i="22"/>
  <c r="C63" i="22"/>
  <c r="C62" i="22" s="1"/>
  <c r="D8" i="22"/>
  <c r="D7" i="22" s="1"/>
  <c r="D6" i="22" s="1"/>
  <c r="H8" i="22"/>
  <c r="J8" i="22"/>
  <c r="H23" i="22"/>
  <c r="E23" i="22"/>
  <c r="I23" i="22"/>
  <c r="J62" i="22"/>
  <c r="E63" i="22"/>
  <c r="I63" i="22"/>
  <c r="H77" i="22"/>
  <c r="I77" i="22"/>
  <c r="E77" i="22"/>
  <c r="E8" i="22"/>
  <c r="I8" i="22"/>
  <c r="H7" i="22"/>
  <c r="H63" i="22"/>
  <c r="B12" i="61"/>
  <c r="F12" i="61"/>
  <c r="D12" i="61"/>
  <c r="H12" i="61"/>
  <c r="C12" i="61"/>
  <c r="C6" i="61"/>
  <c r="G6" i="61"/>
  <c r="E18" i="61"/>
  <c r="I18" i="61"/>
  <c r="G12" i="61"/>
  <c r="F18" i="61"/>
  <c r="E6" i="61"/>
  <c r="I6" i="61"/>
  <c r="J6" i="61"/>
  <c r="J18" i="61"/>
  <c r="D18" i="61"/>
  <c r="E12" i="61"/>
  <c r="I12" i="61"/>
  <c r="J12" i="61"/>
  <c r="C18" i="61"/>
  <c r="G18" i="61"/>
  <c r="F23" i="1"/>
  <c r="F8" i="1"/>
  <c r="D38" i="1"/>
  <c r="H38" i="1"/>
  <c r="B8" i="1"/>
  <c r="E8" i="1"/>
  <c r="I8" i="1"/>
  <c r="J8" i="1"/>
  <c r="H23" i="1"/>
  <c r="F77" i="1"/>
  <c r="F38" i="1"/>
  <c r="G38" i="1"/>
  <c r="G37" i="1" s="1"/>
  <c r="D77" i="1"/>
  <c r="D37" i="1" s="1"/>
  <c r="H77" i="1"/>
  <c r="F7" i="1"/>
  <c r="D8" i="1"/>
  <c r="H8" i="1"/>
  <c r="H7" i="1" s="1"/>
  <c r="E38" i="1"/>
  <c r="E37" i="1" s="1"/>
  <c r="B77" i="1"/>
  <c r="B37" i="1" s="1"/>
  <c r="B6" i="1" s="1"/>
  <c r="J23" i="1"/>
  <c r="J7" i="1" s="1"/>
  <c r="I38" i="1"/>
  <c r="B23" i="1"/>
  <c r="F37" i="1"/>
  <c r="F6" i="1" s="1"/>
  <c r="J77" i="1"/>
  <c r="I77" i="1"/>
  <c r="B7" i="1"/>
  <c r="C8" i="1"/>
  <c r="C7" i="1" s="1"/>
  <c r="C38" i="1"/>
  <c r="D23" i="1"/>
  <c r="D7" i="1" s="1"/>
  <c r="H37" i="1"/>
  <c r="C77" i="1"/>
  <c r="J38" i="1"/>
  <c r="B8" i="4"/>
  <c r="B7" i="4" s="1"/>
  <c r="F8" i="4"/>
  <c r="G23" i="4"/>
  <c r="D8" i="4"/>
  <c r="H8" i="4"/>
  <c r="E38" i="4"/>
  <c r="I38" i="4"/>
  <c r="I23" i="4"/>
  <c r="J8" i="4"/>
  <c r="B77" i="4"/>
  <c r="D77" i="4"/>
  <c r="F23" i="4"/>
  <c r="F7" i="4" s="1"/>
  <c r="D38" i="4"/>
  <c r="E77" i="4"/>
  <c r="E37" i="4" s="1"/>
  <c r="E8" i="4"/>
  <c r="I8" i="4"/>
  <c r="I7" i="4" s="1"/>
  <c r="D23" i="4"/>
  <c r="H23" i="4"/>
  <c r="H7" i="4" s="1"/>
  <c r="E23" i="4"/>
  <c r="F38" i="4"/>
  <c r="B38" i="4"/>
  <c r="B37" i="4" s="1"/>
  <c r="F77" i="4"/>
  <c r="J23" i="4"/>
  <c r="J7" i="4" s="1"/>
  <c r="C23" i="4"/>
  <c r="H38" i="4"/>
  <c r="H37" i="4" s="1"/>
  <c r="J77" i="4"/>
  <c r="J37" i="4" s="1"/>
  <c r="J6" i="4" s="1"/>
  <c r="I77" i="4"/>
  <c r="I37" i="4" s="1"/>
  <c r="I6" i="4" s="1"/>
  <c r="G7" i="1"/>
  <c r="G6" i="1" s="1"/>
  <c r="I7" i="72"/>
  <c r="I6" i="72" s="1"/>
  <c r="D6" i="1"/>
  <c r="B6" i="4"/>
  <c r="C35" i="16"/>
  <c r="C7" i="16" s="1"/>
  <c r="E8" i="55"/>
  <c r="E5" i="16"/>
  <c r="N23" i="42"/>
  <c r="N7" i="42" s="1"/>
  <c r="N4" i="42"/>
  <c r="H5" i="3"/>
  <c r="E5" i="6"/>
  <c r="E5" i="12"/>
  <c r="E4" i="23"/>
  <c r="E6" i="65"/>
  <c r="E5" i="17"/>
  <c r="H17" i="13"/>
  <c r="E12" i="43"/>
  <c r="I4" i="26"/>
  <c r="E5" i="14"/>
  <c r="N4" i="45"/>
  <c r="E21" i="6"/>
  <c r="H4" i="13"/>
  <c r="E5" i="46"/>
  <c r="E4" i="47"/>
  <c r="H21" i="3"/>
  <c r="E5" i="18"/>
  <c r="E5" i="43"/>
  <c r="B6" i="45"/>
  <c r="H6" i="45"/>
  <c r="H25" i="42"/>
  <c r="B25" i="42"/>
  <c r="A2" i="19"/>
  <c r="A2" i="61"/>
  <c r="F62" i="21"/>
  <c r="J62" i="21"/>
  <c r="H7" i="72"/>
  <c r="D12" i="49"/>
  <c r="G4" i="29"/>
  <c r="G10" i="68"/>
  <c r="G10" i="32"/>
  <c r="A10" i="32" s="1"/>
  <c r="G10" i="49"/>
  <c r="J4" i="22"/>
  <c r="G10" i="69"/>
  <c r="J10" i="8"/>
  <c r="B6" i="26"/>
  <c r="B6" i="18"/>
  <c r="E25" i="42"/>
  <c r="E6" i="42"/>
  <c r="K6" i="45"/>
  <c r="B19" i="13"/>
  <c r="E6" i="13"/>
  <c r="B21" i="12"/>
  <c r="B5" i="47"/>
  <c r="B6" i="14"/>
  <c r="B22" i="6"/>
  <c r="B6" i="13"/>
  <c r="B6" i="46"/>
  <c r="K25" i="42"/>
  <c r="K6" i="42"/>
  <c r="E23" i="3"/>
  <c r="E7" i="3"/>
  <c r="B6" i="6"/>
  <c r="B7" i="65"/>
  <c r="B13" i="43"/>
  <c r="B6" i="43"/>
  <c r="E6" i="45"/>
  <c r="B6" i="44"/>
  <c r="A18" i="69"/>
  <c r="A18" i="49"/>
  <c r="A7" i="16"/>
  <c r="A26" i="42"/>
  <c r="A7" i="42"/>
  <c r="A24" i="3"/>
  <c r="A7" i="6"/>
  <c r="A7" i="12"/>
  <c r="A18" i="19"/>
  <c r="A6" i="23"/>
  <c r="A12" i="68"/>
  <c r="A6" i="68"/>
  <c r="A12" i="32"/>
  <c r="A8" i="65"/>
  <c r="A7" i="17"/>
  <c r="A7" i="45"/>
  <c r="A20" i="13"/>
  <c r="A7" i="13"/>
  <c r="A14" i="43"/>
  <c r="A12" i="8"/>
  <c r="A12" i="61" s="1"/>
  <c r="A6" i="8"/>
  <c r="A6" i="61" s="1"/>
  <c r="A7" i="26"/>
  <c r="A18" i="68"/>
  <c r="A18" i="32"/>
  <c r="A6" i="32"/>
  <c r="A23" i="6"/>
  <c r="A12" i="19"/>
  <c r="A6" i="19"/>
  <c r="A8" i="3"/>
  <c r="A6" i="47"/>
  <c r="A6" i="4"/>
  <c r="A12" i="49"/>
  <c r="A6" i="49"/>
  <c r="A7" i="14"/>
  <c r="A7" i="43"/>
  <c r="A2" i="4"/>
  <c r="G38" i="4"/>
  <c r="I23" i="1"/>
  <c r="I7" i="1" s="1"/>
  <c r="C7" i="72"/>
  <c r="G7" i="72"/>
  <c r="A2" i="8"/>
  <c r="A18" i="8"/>
  <c r="A18" i="61" s="1"/>
  <c r="E20" i="12"/>
  <c r="G6" i="30"/>
  <c r="C72" i="30"/>
  <c r="D37" i="4"/>
  <c r="C7" i="73"/>
  <c r="C6" i="73" s="1"/>
  <c r="E5" i="44"/>
  <c r="G4" i="73"/>
  <c r="J4" i="72"/>
  <c r="A4" i="65"/>
  <c r="A3" i="17"/>
  <c r="I6" i="26"/>
  <c r="H19" i="13"/>
  <c r="H7" i="3"/>
  <c r="N6" i="45"/>
  <c r="H6" i="13"/>
  <c r="N25" i="42"/>
  <c r="H23" i="3"/>
  <c r="I6" i="45"/>
  <c r="C6" i="45"/>
  <c r="I6" i="42"/>
  <c r="C6" i="42"/>
  <c r="C38" i="4"/>
  <c r="E23" i="1"/>
  <c r="E7" i="1" s="1"/>
  <c r="E6" i="1" s="1"/>
  <c r="C8" i="4"/>
  <c r="G8" i="4"/>
  <c r="G7" i="4" s="1"/>
  <c r="C77" i="4"/>
  <c r="G77" i="4"/>
  <c r="A2" i="1"/>
  <c r="E77" i="21"/>
  <c r="E62" i="21" s="1"/>
  <c r="I77" i="21"/>
  <c r="I62" i="21" s="1"/>
  <c r="D77" i="21"/>
  <c r="D62" i="21" s="1"/>
  <c r="H77" i="21"/>
  <c r="H62" i="21" s="1"/>
  <c r="C23" i="22"/>
  <c r="C7" i="22" s="1"/>
  <c r="G23" i="22"/>
  <c r="G7" i="22" s="1"/>
  <c r="G6" i="22" s="1"/>
  <c r="B23" i="22"/>
  <c r="B7" i="22" s="1"/>
  <c r="B6" i="22" s="1"/>
  <c r="F23" i="22"/>
  <c r="F7" i="22" s="1"/>
  <c r="F6" i="22" s="1"/>
  <c r="J23" i="22"/>
  <c r="J7" i="22" s="1"/>
  <c r="J6" i="22" s="1"/>
  <c r="D7" i="72"/>
  <c r="C63" i="72"/>
  <c r="C62" i="72" s="1"/>
  <c r="G63" i="72"/>
  <c r="G62" i="72" s="1"/>
  <c r="B63" i="72"/>
  <c r="B62" i="72" s="1"/>
  <c r="B6" i="72" s="1"/>
  <c r="F63" i="72"/>
  <c r="F62" i="72" s="1"/>
  <c r="J63" i="72"/>
  <c r="J62" i="72" s="1"/>
  <c r="D77" i="72"/>
  <c r="D62" i="72" s="1"/>
  <c r="J10" i="19"/>
  <c r="H6" i="42"/>
  <c r="I25" i="42"/>
  <c r="A7" i="18"/>
  <c r="A12" i="69"/>
  <c r="E72" i="29"/>
  <c r="C6" i="69"/>
  <c r="G6" i="69"/>
  <c r="E72" i="30"/>
  <c r="E6" i="30" s="1"/>
  <c r="G4" i="30"/>
  <c r="G4" i="68"/>
  <c r="G4" i="69"/>
  <c r="G4" i="49"/>
  <c r="J4" i="8"/>
  <c r="G4" i="32"/>
  <c r="A4" i="32" s="1"/>
  <c r="C6" i="49"/>
  <c r="G6" i="49"/>
  <c r="D72" i="30"/>
  <c r="D6" i="30" s="1"/>
  <c r="E7" i="29"/>
  <c r="G7" i="73"/>
  <c r="G6" i="73" s="1"/>
  <c r="E7" i="73"/>
  <c r="E24" i="3"/>
  <c r="D6" i="49"/>
  <c r="D6" i="69"/>
  <c r="F72" i="73"/>
  <c r="D6" i="14"/>
  <c r="F6" i="45"/>
  <c r="C23" i="3"/>
  <c r="F7" i="3"/>
  <c r="D6" i="44"/>
  <c r="D6" i="46"/>
  <c r="J25" i="42"/>
  <c r="J6" i="42"/>
  <c r="D20" i="13"/>
  <c r="H20" i="13"/>
  <c r="F7" i="73"/>
  <c r="C6" i="26"/>
  <c r="E6" i="73" l="1"/>
  <c r="D7" i="73"/>
  <c r="D6" i="73" s="1"/>
  <c r="F6" i="73"/>
  <c r="F72" i="29"/>
  <c r="G6" i="29"/>
  <c r="B72" i="29"/>
  <c r="B6" i="29" s="1"/>
  <c r="F6" i="29"/>
  <c r="F6" i="30"/>
  <c r="F7" i="72"/>
  <c r="F6" i="72" s="1"/>
  <c r="H6" i="72"/>
  <c r="J7" i="72"/>
  <c r="J6" i="72" s="1"/>
  <c r="E6" i="72"/>
  <c r="B6" i="21"/>
  <c r="D7" i="21"/>
  <c r="D6" i="21" s="1"/>
  <c r="I7" i="21"/>
  <c r="I6" i="21" s="1"/>
  <c r="F7" i="21"/>
  <c r="F6" i="21" s="1"/>
  <c r="J6" i="21"/>
  <c r="E6" i="21"/>
  <c r="H7" i="21"/>
  <c r="H6" i="21" s="1"/>
  <c r="C6" i="22"/>
  <c r="I7" i="22"/>
  <c r="I62" i="22"/>
  <c r="I6" i="22" s="1"/>
  <c r="H62" i="22"/>
  <c r="H6" i="22" s="1"/>
  <c r="E62" i="22"/>
  <c r="E7" i="22"/>
  <c r="H6" i="1"/>
  <c r="J37" i="1"/>
  <c r="J6" i="1" s="1"/>
  <c r="I37" i="1"/>
  <c r="I6" i="1" s="1"/>
  <c r="C37" i="1"/>
  <c r="C6" i="1" s="1"/>
  <c r="D7" i="4"/>
  <c r="F37" i="4"/>
  <c r="F6" i="4" s="1"/>
  <c r="D6" i="4"/>
  <c r="E7" i="4"/>
  <c r="E6" i="4" s="1"/>
  <c r="H6" i="4"/>
  <c r="C7" i="4"/>
  <c r="E6" i="29"/>
  <c r="D6" i="72"/>
  <c r="A4" i="19"/>
  <c r="A10" i="19"/>
  <c r="C37" i="4"/>
  <c r="C6" i="4" s="1"/>
  <c r="G6" i="72"/>
  <c r="G37" i="4"/>
  <c r="G6" i="4" s="1"/>
  <c r="C6" i="72"/>
  <c r="A4" i="8"/>
  <c r="A10" i="8"/>
  <c r="E6" i="22" l="1"/>
</calcChain>
</file>

<file path=xl/sharedStrings.xml><?xml version="1.0" encoding="utf-8"?>
<sst xmlns="http://schemas.openxmlformats.org/spreadsheetml/2006/main" count="1234" uniqueCount="160">
  <si>
    <t>%</t>
  </si>
  <si>
    <t>Державний борг</t>
  </si>
  <si>
    <t>Гарантований державою борг</t>
  </si>
  <si>
    <t>Внутрішній борг</t>
  </si>
  <si>
    <t>1. Заборгованість за випущеними цінними паперами на внутрішньому ринку</t>
  </si>
  <si>
    <t>ОВДП 2009</t>
  </si>
  <si>
    <t>ОВДП 2013</t>
  </si>
  <si>
    <t>ОВДП 2014</t>
  </si>
  <si>
    <t>ОВДП 2015</t>
  </si>
  <si>
    <t>ОВДП 2016</t>
  </si>
  <si>
    <t>ОВДП 2017</t>
  </si>
  <si>
    <t>ОВДП 2018</t>
  </si>
  <si>
    <t>ОВДП 2019</t>
  </si>
  <si>
    <t>ОВДП 2020</t>
  </si>
  <si>
    <t>ОВДП 2021</t>
  </si>
  <si>
    <t>ОВДП 2022</t>
  </si>
  <si>
    <t>ОВДП 2023</t>
  </si>
  <si>
    <t>ОВДП 2024</t>
  </si>
  <si>
    <t>ОВДП 2025</t>
  </si>
  <si>
    <t>ОВДП 2026</t>
  </si>
  <si>
    <t>2. Заборгованість перед банківськими та іншими фінансовими установами</t>
  </si>
  <si>
    <t>Національний банк України</t>
  </si>
  <si>
    <t>Зовнішній борг</t>
  </si>
  <si>
    <t>1. Заборгованість за позиками, одержаними від міжнародних фінансових організацій</t>
  </si>
  <si>
    <t>NEFCO</t>
  </si>
  <si>
    <t>Банк розвитку Ради Європи</t>
  </si>
  <si>
    <t>Європейський банк реконструкції та розвитку</t>
  </si>
  <si>
    <t>Європейський Інвестиційний Банк</t>
  </si>
  <si>
    <t>Європейський Союз</t>
  </si>
  <si>
    <t>Європейський Союз ERA*</t>
  </si>
  <si>
    <t xml:space="preserve">Міжнародна асоціація розвитку </t>
  </si>
  <si>
    <t>Міжнародний банк реконструкції та розвитку</t>
  </si>
  <si>
    <t>Міжнародний Валютний Фонд</t>
  </si>
  <si>
    <t>Фонд чистих технологій (МБРР)</t>
  </si>
  <si>
    <t>2.1. Заборгованість за позиками, одержаними від органів управління іноземних держав (крім неврегульованої від органів управління держави-агресора та/або такої, що оскаржується)</t>
  </si>
  <si>
    <t>Великобританія</t>
  </si>
  <si>
    <t>Італія</t>
  </si>
  <si>
    <t>Канада</t>
  </si>
  <si>
    <t>Нідерланди</t>
  </si>
  <si>
    <t>Німеччина</t>
  </si>
  <si>
    <t>Польща</t>
  </si>
  <si>
    <t>Республіка Корея</t>
  </si>
  <si>
    <t>США</t>
  </si>
  <si>
    <t>Франція</t>
  </si>
  <si>
    <t>Японія</t>
  </si>
  <si>
    <t>2.2 Неврегульована заборгованість за позиками, одержаними від органів управління держави-агресора, та/або така, що оскаржується</t>
  </si>
  <si>
    <t>Росія</t>
  </si>
  <si>
    <t>3. Заборгованість за позиками, одержаними від іноземних комерційних банків, інших іноземних фінансових установ</t>
  </si>
  <si>
    <t>Cargill</t>
  </si>
  <si>
    <t>Chase Manhattan Bank</t>
  </si>
  <si>
    <t>Citibank Europe PLC</t>
  </si>
  <si>
    <t>Credit Agricole Corporate and Investment Bank</t>
  </si>
  <si>
    <t>Deutsche Bank</t>
  </si>
  <si>
    <t>National Westminster Bank PLC</t>
  </si>
  <si>
    <t>4.1.Заборгованість за випущеними цінними паперами (крім неврегульованої та/або такої, що оскаржується)</t>
  </si>
  <si>
    <t>ОЗДП 2015 року</t>
  </si>
  <si>
    <t>ОЗДП 2017 року</t>
  </si>
  <si>
    <t>ОЗДП 2018 року</t>
  </si>
  <si>
    <t>ОЗДП 2019 року</t>
  </si>
  <si>
    <t>ОЗДП 2020 року</t>
  </si>
  <si>
    <t>ОЗДП 2021 року</t>
  </si>
  <si>
    <t>ОЗДП 2024 року</t>
  </si>
  <si>
    <t>ОЗДП 2025 року</t>
  </si>
  <si>
    <t>4.2.Неврегульована заборгованість за випущеними цінними паперами, та/або така, що оскаржується</t>
  </si>
  <si>
    <t>ОЗДП 2013 року</t>
  </si>
  <si>
    <t>5. Заборгованість, не віднесена до інших категорій</t>
  </si>
  <si>
    <t>Державні цінні папери</t>
  </si>
  <si>
    <t>Облігації ДІУ (10 - річні)</t>
  </si>
  <si>
    <t>Облігації Укравтодору (12 - місячні)</t>
  </si>
  <si>
    <t>Облігації Укравтодору (3 - річні)</t>
  </si>
  <si>
    <t>Облігації Укравтодору (4 - річні)</t>
  </si>
  <si>
    <t>Облігації Укравтодору (5 - річні)</t>
  </si>
  <si>
    <t>АБ "УКРГАЗБАНК"</t>
  </si>
  <si>
    <t>АТ "БАНК КРЕДИТ ДНІПРО"</t>
  </si>
  <si>
    <t>АТ "Державний експортно-імпортний банк України"</t>
  </si>
  <si>
    <t>АТ "Державний ощадний банк України"</t>
  </si>
  <si>
    <t>АТ "ПУМБ"</t>
  </si>
  <si>
    <t>АТ "ТАСКОМБАНК"</t>
  </si>
  <si>
    <t>Портфельні гарантії</t>
  </si>
  <si>
    <t>3. Заборгованість, не віднесена до інших категорій</t>
  </si>
  <si>
    <t>Інші кредитори</t>
  </si>
  <si>
    <t>Європейське співтоватиство з атомної енергії</t>
  </si>
  <si>
    <t>2. Заборгованість за позиками, одержаними від органів управління іноземних держав</t>
  </si>
  <si>
    <t>Експортно-імпортний банк Китаю</t>
  </si>
  <si>
    <t>Central Storage Safety Project Trust</t>
  </si>
  <si>
    <t>4. Заборгованість за випущеними цінними паперами на зовнішньому ринку</t>
  </si>
  <si>
    <t>Облігації Укравтодору (7 - річні)</t>
  </si>
  <si>
    <t>Облігації Укренерго (5 - річні)</t>
  </si>
  <si>
    <t>Державний та гарантований державою борг України за станом на ReportDate 
(за ознакою умовності)</t>
  </si>
  <si>
    <t xml:space="preserve"> </t>
  </si>
  <si>
    <t>IS_CHART_DATA</t>
  </si>
  <si>
    <t>IS_OVDP</t>
  </si>
  <si>
    <t>FORMAT</t>
  </si>
  <si>
    <t xml:space="preserve">   Державний борг</t>
  </si>
  <si>
    <t xml:space="preserve">      Державний внутрішній борг</t>
  </si>
  <si>
    <t xml:space="preserve">         в т.ч. ОВДП</t>
  </si>
  <si>
    <t xml:space="preserve">            ОВДП (10 - річні)</t>
  </si>
  <si>
    <t xml:space="preserve">            ОВДП (11 - річні)</t>
  </si>
  <si>
    <t xml:space="preserve">            ОВДП (12 - місячні)</t>
  </si>
  <si>
    <t xml:space="preserve">            ОВДП (12 - річні)</t>
  </si>
  <si>
    <t xml:space="preserve">            ОВДП (18 - місячні)</t>
  </si>
  <si>
    <t xml:space="preserve">            ОВДП (2 - річні)</t>
  </si>
  <si>
    <t xml:space="preserve">            ОВДП (3 - місячні)</t>
  </si>
  <si>
    <t xml:space="preserve">            ОВДП (3 - річні)</t>
  </si>
  <si>
    <t xml:space="preserve">            ОВДП (4 - річні)</t>
  </si>
  <si>
    <t xml:space="preserve">      Державний зовнішній борг</t>
  </si>
  <si>
    <t xml:space="preserve">         в т.ч. ОЗДП</t>
  </si>
  <si>
    <t xml:space="preserve">  Гарантований борг</t>
  </si>
  <si>
    <t xml:space="preserve">      Гарантований внутрішній борг</t>
  </si>
  <si>
    <t xml:space="preserve">      Гарантований зовнішній борг</t>
  </si>
  <si>
    <t>3</t>
  </si>
  <si>
    <t>Не визначений</t>
  </si>
  <si>
    <t>1</t>
  </si>
  <si>
    <t>2026.08.31-2026.12.31</t>
  </si>
  <si>
    <t>2027-2031</t>
  </si>
  <si>
    <t>2031-01.03.2080</t>
  </si>
  <si>
    <t>тис.одиниць</t>
  </si>
  <si>
    <t>Державний та гарантований державою борг України за станом на ReportDate 
(за типом боргу)</t>
  </si>
  <si>
    <t>Дата отчета</t>
  </si>
  <si>
    <t>31.08.2026</t>
  </si>
  <si>
    <t>Дата последнего погашения</t>
  </si>
  <si>
    <t>31.12.2068</t>
  </si>
  <si>
    <t>Единицы измерения</t>
  </si>
  <si>
    <t>Сессия</t>
  </si>
  <si>
    <t>1c06a653-4c5a-490c-969f-c1702fe953c0</t>
  </si>
  <si>
    <t>SHORT</t>
  </si>
  <si>
    <t>UKR</t>
  </si>
  <si>
    <t>USD</t>
  </si>
  <si>
    <t>дол. США</t>
  </si>
  <si>
    <t>Локалізація звіту:</t>
  </si>
  <si>
    <t>%%</t>
  </si>
  <si>
    <t>Борг, по якому сплата відсотків здійснюється за плаваючими процентними ставками</t>
  </si>
  <si>
    <t>Борг, по якому сплата відсотків здійснюється за фіксованими процентними ставками</t>
  </si>
  <si>
    <t>EURIBOR</t>
  </si>
  <si>
    <t>SOFR</t>
  </si>
  <si>
    <t>SONIA</t>
  </si>
  <si>
    <t>TORF</t>
  </si>
  <si>
    <t>Індекс споживчих цін (СРІ)</t>
  </si>
  <si>
    <t>Облікова ставка НБУ</t>
  </si>
  <si>
    <t>Ставка МВФ</t>
  </si>
  <si>
    <t>Український індекс ставок за депозитами фізичних осіб</t>
  </si>
  <si>
    <t>Фіксована</t>
  </si>
  <si>
    <t>2</t>
  </si>
  <si>
    <t>Внутрішній борг за випущеними цінними паперами</t>
  </si>
  <si>
    <t>Внутрішній борг перед банківськими та іншими фінансовими установами</t>
  </si>
  <si>
    <t>Внутрішня заборгованість, не віднесена до інших категорій</t>
  </si>
  <si>
    <t>Зовнішній борг за випущеними цінними паперами</t>
  </si>
  <si>
    <t>Зовнішній борг за позиками, одержаними від іноземних комерційних банків, інших іноземних фінансових установ</t>
  </si>
  <si>
    <t>Зовнішній борг за позиками, одержаними від міжнародних фінансових організацій</t>
  </si>
  <si>
    <t>Зовнішній борг за позиками, одержаними від органів управління іноземних держав</t>
  </si>
  <si>
    <t>Зовнішній борг, не віднесений до інших категорій</t>
  </si>
  <si>
    <t>Анг. фунт стерлінгів</t>
  </si>
  <si>
    <t>Долар США</t>
  </si>
  <si>
    <t>ЄВРО</t>
  </si>
  <si>
    <t>Канадський долар</t>
  </si>
  <si>
    <t>СПЗ</t>
  </si>
  <si>
    <t>Українська гривня</t>
  </si>
  <si>
    <t>Японська єна</t>
  </si>
  <si>
    <t>*Кредит ЄС у межах ERA (Extraordinary Revenue Acceleration) погашення якого буде здійснюватися  за рахунок джерел інших, ніж Державний бюджет України,  в тому числі за рахунок доходів, отриманих від заморожених активів Російської Федерації,  відповідно до механізму кредитної співпраці з Україною, визначеного Регламентом (ЄС) 2024/2773  Європейського Парламенту і Рад и Європейського Союзу від 24 жовтня 2024 року</t>
  </si>
  <si>
    <t>STOP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</si>
</sst>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
    <numFmt numFmtId="166" formatCode="dd\.mm\.yyyy;@"/>
  </numFmts>
  <fonts count="34" x14ac:knownFonts="1">
    <font>
      <sz val="10"/>
      <name val="Arial Cyr"/>
      <charset val="204"/>
    </font>
    <font>
      <sz val="11"/>
      <color theme="1"/>
      <name val="Calibri"/>
      <family val="2"/>
      <charset val="204"/>
      <scheme val="minor"/>
    </font>
    <font>
      <sz val="10"/>
      <name val="Arial Cyr"/>
      <charset val="204"/>
    </font>
    <font>
      <i/>
      <sz val="10"/>
      <name val="Arial Cyr"/>
      <charset val="204"/>
    </font>
    <font>
      <sz val="8"/>
      <name val="Arial Cyr"/>
      <charset val="204"/>
    </font>
    <font>
      <sz val="11"/>
      <color theme="1"/>
      <name val="Calibri"/>
      <family val="2"/>
      <charset val="204"/>
      <scheme val="minor"/>
    </font>
    <font>
      <sz val="11"/>
      <color theme="0"/>
      <name val="Calibri"/>
      <family val="2"/>
      <charset val="204"/>
      <scheme val="minor"/>
    </font>
    <font>
      <b/>
      <sz val="11"/>
      <color theme="1"/>
      <name val="Calibri"/>
      <family val="2"/>
      <charset val="204"/>
      <scheme val="minor"/>
    </font>
    <font>
      <sz val="10"/>
      <name val="Calibri"/>
      <family val="2"/>
      <charset val="204"/>
      <scheme val="minor"/>
    </font>
    <font>
      <sz val="8"/>
      <name val="Calibri"/>
      <family val="2"/>
      <charset val="204"/>
      <scheme val="minor"/>
    </font>
    <font>
      <b/>
      <sz val="10"/>
      <name val="Calibri"/>
      <family val="2"/>
      <charset val="204"/>
      <scheme val="minor"/>
    </font>
    <font>
      <i/>
      <sz val="10"/>
      <name val="Calibri"/>
      <family val="2"/>
      <charset val="204"/>
      <scheme val="minor"/>
    </font>
    <font>
      <sz val="10"/>
      <color indexed="8"/>
      <name val="Calibri"/>
      <family val="2"/>
      <charset val="204"/>
      <scheme val="minor"/>
    </font>
    <font>
      <b/>
      <i/>
      <sz val="12"/>
      <name val="Calibri"/>
      <family val="2"/>
      <charset val="204"/>
      <scheme val="minor"/>
    </font>
    <font>
      <sz val="14"/>
      <name val="Calibri"/>
      <family val="2"/>
      <charset val="204"/>
      <scheme val="minor"/>
    </font>
    <font>
      <i/>
      <sz val="11"/>
      <name val="Calibri"/>
      <family val="2"/>
      <charset val="204"/>
      <scheme val="minor"/>
    </font>
    <font>
      <b/>
      <i/>
      <sz val="10"/>
      <name val="Calibri"/>
      <family val="2"/>
      <charset val="204"/>
      <scheme val="minor"/>
    </font>
    <font>
      <sz val="10"/>
      <color theme="0"/>
      <name val="Calibri"/>
      <family val="2"/>
      <charset val="204"/>
      <scheme val="minor"/>
    </font>
    <font>
      <sz val="10.5"/>
      <name val="Calibri"/>
      <family val="2"/>
      <charset val="204"/>
      <scheme val="minor"/>
    </font>
    <font>
      <sz val="10.5"/>
      <color indexed="8"/>
      <name val="Calibri"/>
      <family val="2"/>
      <charset val="204"/>
      <scheme val="minor"/>
    </font>
    <font>
      <sz val="10"/>
      <color indexed="9"/>
      <name val="Calibri"/>
      <family val="2"/>
      <charset val="204"/>
      <scheme val="minor"/>
    </font>
    <font>
      <sz val="10"/>
      <color rgb="FF000000"/>
      <name val="Calibri"/>
      <family val="2"/>
      <charset val="204"/>
      <scheme val="minor"/>
    </font>
    <font>
      <b/>
      <sz val="10"/>
      <color indexed="8"/>
      <name val="Calibri"/>
      <family val="2"/>
      <charset val="204"/>
      <scheme val="minor"/>
    </font>
    <font>
      <b/>
      <sz val="12"/>
      <color theme="0"/>
      <name val="Calibri"/>
      <family val="2"/>
      <charset val="204"/>
      <scheme val="minor"/>
    </font>
    <font>
      <b/>
      <sz val="11"/>
      <name val="Calibri"/>
      <family val="2"/>
      <charset val="204"/>
      <scheme val="minor"/>
    </font>
    <font>
      <sz val="10.5"/>
      <color theme="1"/>
      <name val="Calibri"/>
      <family val="2"/>
      <charset val="204"/>
      <scheme val="minor"/>
    </font>
    <font>
      <i/>
      <sz val="10"/>
      <color indexed="9"/>
      <name val="Calibri"/>
      <family val="2"/>
      <charset val="204"/>
      <scheme val="minor"/>
    </font>
    <font>
      <b/>
      <sz val="12"/>
      <name val="Calibri"/>
      <family val="2"/>
      <charset val="204"/>
      <scheme val="minor"/>
    </font>
    <font>
      <b/>
      <sz val="14"/>
      <name val="Calibri"/>
      <family val="2"/>
      <charset val="204"/>
      <scheme val="minor"/>
    </font>
    <font>
      <i/>
      <sz val="10"/>
      <color theme="0"/>
      <name val="Calibri"/>
      <family val="2"/>
      <charset val="204"/>
      <scheme val="minor"/>
    </font>
    <font>
      <b/>
      <sz val="11"/>
      <color rgb="FFFFFFFF"/>
      <name val="Calibri"/>
      <family val="2"/>
      <charset val="204"/>
      <scheme val="minor"/>
    </font>
    <font>
      <sz val="11"/>
      <name val="Calibri"/>
      <family val="2"/>
      <charset val="204"/>
      <scheme val="minor"/>
    </font>
    <font>
      <b/>
      <sz val="11"/>
      <color rgb="FFFFFFFF"/>
      <name val="Calibri"/>
      <family val="2"/>
      <charset val="204"/>
      <scheme val="minor"/>
    </font>
    <font>
      <sz val="10.5"/>
      <color rgb="FF000000"/>
      <name val="Calibri"/>
      <family val="2"/>
      <charset val="204"/>
      <scheme val="minor"/>
    </font>
  </fonts>
  <fills count="3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4"/>
      </patternFill>
    </fill>
    <fill>
      <patternFill patternType="solid">
        <fgColor theme="5"/>
      </patternFill>
    </fill>
    <fill>
      <patternFill patternType="solid">
        <fgColor theme="0"/>
        <bgColor indexed="64"/>
      </patternFill>
    </fill>
    <fill>
      <patternFill patternType="solid">
        <fgColor rgb="FFFFFFFF"/>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rgb="FFFFFFFF"/>
      </patternFill>
    </fill>
    <fill>
      <patternFill patternType="solid">
        <fgColor rgb="FF558ED5" tint="0.39997558519241921"/>
        <bgColor indexed="64"/>
      </patternFill>
    </fill>
    <fill>
      <patternFill patternType="solid">
        <fgColor rgb="FFC6D9F1" tint="0.79998168889431442"/>
        <bgColor indexed="64"/>
      </patternFill>
    </fill>
    <fill>
      <patternFill patternType="solid">
        <fgColor rgb="FFC6D9F1"/>
      </patternFill>
    </fill>
    <fill>
      <patternFill patternType="solid">
        <fgColor rgb="FF558ED5"/>
      </patternFill>
    </fill>
    <fill>
      <patternFill patternType="solid">
        <fgColor rgb="FF4F81BD"/>
      </patternFill>
    </fill>
    <fill>
      <patternFill patternType="solid">
        <fgColor rgb="FFB9CDE5" tint="0.59999389629810485"/>
        <bgColor indexed="65"/>
      </patternFill>
    </fill>
    <fill>
      <patternFill patternType="solid">
        <fgColor rgb="FFB9CDE5"/>
      </patternFill>
    </fill>
    <fill>
      <patternFill patternType="solid">
        <fgColor rgb="FF4F81BD"/>
      </patternFill>
    </fill>
    <fill>
      <patternFill patternType="solid">
        <fgColor rgb="FFC0C0C0"/>
        <bgColor indexed="64"/>
      </patternFill>
    </fill>
    <fill>
      <patternFill patternType="solid">
        <fgColor rgb="FFDCE6F2" tint="0.79998168889431442"/>
        <bgColor indexed="65"/>
      </patternFill>
    </fill>
    <fill>
      <patternFill patternType="solid">
        <fgColor rgb="FFDCE6F2"/>
      </patternFill>
    </fill>
    <fill>
      <patternFill patternType="solid">
        <fgColor rgb="FFC0C0C0"/>
      </patternFill>
    </fill>
    <fill>
      <patternFill patternType="solid">
        <fgColor rgb="FFC6D9F1"/>
        <bgColor indexed="64"/>
      </patternFill>
    </fill>
    <fill>
      <patternFill patternType="solid">
        <fgColor rgb="FFD7E4BD" tint="0.59999389629810485"/>
        <bgColor indexed="64"/>
      </patternFill>
    </fill>
    <fill>
      <patternFill patternType="solid">
        <fgColor rgb="FFD7E4B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s>
  <cellStyleXfs count="10">
    <xf numFmtId="0" fontId="0" fillId="0" borderId="0"/>
    <xf numFmtId="0" fontId="2" fillId="0" borderId="0" applyNumberFormat="0" applyFill="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9" fontId="2" fillId="0" borderId="0" applyFont="0" applyFill="0" applyBorder="0" applyAlignment="0" applyProtection="0"/>
  </cellStyleXfs>
  <cellXfs count="300">
    <xf numFmtId="0" fontId="0" fillId="0" borderId="0" xfId="0"/>
    <xf numFmtId="0" fontId="28" fillId="0" borderId="0" xfId="0" applyFont="1" applyAlignment="1">
      <alignment horizontal="center"/>
    </xf>
    <xf numFmtId="0" fontId="10" fillId="0" borderId="0" xfId="0" applyFont="1" applyAlignment="1">
      <alignment horizontal="center"/>
    </xf>
    <xf numFmtId="0" fontId="14" fillId="0" borderId="0" xfId="0" applyFont="1" applyAlignment="1"/>
    <xf numFmtId="0" fontId="28" fillId="0" borderId="0" xfId="0" applyFont="1" applyAlignment="1">
      <alignment horizontal="center" wrapText="1"/>
    </xf>
    <xf numFmtId="0" fontId="28" fillId="0" borderId="0" xfId="0" applyFont="1" applyAlignment="1">
      <alignment horizontal="center" vertical="center"/>
    </xf>
    <xf numFmtId="0" fontId="28" fillId="0" borderId="0" xfId="0" applyFont="1" applyAlignment="1">
      <alignment horizontal="center"/>
    </xf>
    <xf numFmtId="0" fontId="3" fillId="0" borderId="0" xfId="0" applyFont="1" applyAlignment="1">
      <alignment horizontal="right"/>
    </xf>
    <xf numFmtId="0" fontId="4" fillId="0" borderId="0" xfId="0" applyFont="1" applyAlignment="1">
      <alignment horizontal="center" vertical="center"/>
    </xf>
    <xf numFmtId="0" fontId="0" fillId="0" borderId="0" xfId="0" applyAlignment="1">
      <alignment horizontal="center" vertical="center"/>
    </xf>
    <xf numFmtId="166" fontId="0" fillId="0" borderId="0" xfId="0" applyNumberFormat="1"/>
    <xf numFmtId="0" fontId="8" fillId="0" borderId="0" xfId="0" applyFont="1" applyAlignment="1">
      <alignment horizontal="center"/>
    </xf>
    <xf numFmtId="0" fontId="9" fillId="0" borderId="0" xfId="0" applyFont="1"/>
    <xf numFmtId="4" fontId="9" fillId="0" borderId="0" xfId="0" applyNumberFormat="1" applyFont="1"/>
    <xf numFmtId="4" fontId="9" fillId="0" borderId="0" xfId="0" applyNumberFormat="1" applyFont="1" applyAlignment="1"/>
    <xf numFmtId="0" fontId="9" fillId="0" borderId="0" xfId="0" applyFont="1" applyAlignment="1"/>
    <xf numFmtId="49" fontId="10" fillId="2" borderId="1" xfId="1" applyNumberFormat="1" applyFont="1" applyFill="1" applyBorder="1" applyAlignment="1">
      <alignment horizontal="center" vertical="center" wrapText="1"/>
    </xf>
    <xf numFmtId="166" fontId="10" fillId="2" borderId="1" xfId="1" applyNumberFormat="1" applyFont="1" applyFill="1" applyBorder="1" applyAlignment="1">
      <alignment horizontal="center" vertical="center"/>
    </xf>
    <xf numFmtId="0" fontId="10" fillId="0" borderId="0" xfId="1" applyFont="1" applyAlignment="1">
      <alignment horizontal="center" vertical="center"/>
    </xf>
    <xf numFmtId="0" fontId="11"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1" applyNumberFormat="1" applyFont="1" applyAlignment="1">
      <alignment horizontal="center" vertical="center"/>
    </xf>
    <xf numFmtId="0" fontId="8" fillId="0" borderId="0" xfId="1" applyNumberFormat="1" applyFont="1" applyAlignment="1">
      <alignment horizontal="center" vertical="center"/>
    </xf>
    <xf numFmtId="4" fontId="12" fillId="2" borderId="1" xfId="0" applyNumberFormat="1" applyFont="1" applyFill="1" applyBorder="1" applyAlignment="1">
      <alignment horizontal="right" vertical="center"/>
    </xf>
    <xf numFmtId="0" fontId="9" fillId="0" borderId="0" xfId="0" applyNumberFormat="1" applyFont="1" applyAlignment="1">
      <alignment horizontal="center" vertical="center"/>
    </xf>
    <xf numFmtId="164" fontId="13" fillId="10" borderId="1" xfId="1" applyNumberFormat="1" applyFont="1" applyFill="1" applyBorder="1" applyAlignment="1">
      <alignment horizontal="right" vertical="center"/>
    </xf>
    <xf numFmtId="0" fontId="8" fillId="0" borderId="0" xfId="0" applyFont="1"/>
    <xf numFmtId="4" fontId="8" fillId="0" borderId="0" xfId="0" applyNumberFormat="1" applyFont="1"/>
    <xf numFmtId="0" fontId="10" fillId="0" borderId="0" xfId="0" applyFont="1"/>
    <xf numFmtId="4" fontId="8" fillId="0" borderId="0" xfId="0" applyNumberFormat="1" applyFont="1" applyAlignment="1"/>
    <xf numFmtId="0" fontId="8" fillId="0" borderId="0" xfId="0" applyFont="1" applyAlignment="1"/>
    <xf numFmtId="0" fontId="11" fillId="0" borderId="0" xfId="0" applyFont="1" applyAlignment="1">
      <alignment horizontal="right"/>
    </xf>
    <xf numFmtId="4" fontId="11" fillId="0" borderId="0" xfId="0" applyNumberFormat="1" applyFont="1" applyAlignment="1">
      <alignment horizontal="right"/>
    </xf>
    <xf numFmtId="0" fontId="14" fillId="0" borderId="0" xfId="0" applyFont="1" applyAlignment="1">
      <alignment horizontal="center"/>
    </xf>
    <xf numFmtId="0" fontId="14" fillId="0" borderId="0" xfId="0" applyFont="1"/>
    <xf numFmtId="0" fontId="15" fillId="0" borderId="0" xfId="1" applyNumberFormat="1" applyFont="1" applyFill="1" applyAlignment="1">
      <alignment horizontal="center" vertical="center"/>
    </xf>
    <xf numFmtId="49" fontId="16" fillId="3" borderId="1" xfId="1" applyNumberFormat="1" applyFont="1" applyFill="1" applyBorder="1" applyAlignment="1">
      <alignment horizontal="left" vertical="center"/>
    </xf>
    <xf numFmtId="166" fontId="10" fillId="0" borderId="1" xfId="1" applyNumberFormat="1" applyFont="1" applyBorder="1" applyAlignment="1">
      <alignment horizontal="center" vertical="center"/>
    </xf>
    <xf numFmtId="0" fontId="10" fillId="0" borderId="0" xfId="1" applyFont="1"/>
    <xf numFmtId="0" fontId="11" fillId="0" borderId="0" xfId="1" applyNumberFormat="1" applyFont="1" applyAlignment="1"/>
    <xf numFmtId="0" fontId="11" fillId="0" borderId="0" xfId="1" applyNumberFormat="1" applyFont="1"/>
    <xf numFmtId="49" fontId="11" fillId="0" borderId="0" xfId="0" applyNumberFormat="1" applyFont="1" applyAlignment="1">
      <alignment horizontal="right"/>
    </xf>
    <xf numFmtId="0" fontId="8" fillId="0" borderId="0" xfId="0" applyNumberFormat="1" applyFont="1" applyAlignment="1">
      <alignment horizontal="center" vertical="center"/>
    </xf>
    <xf numFmtId="0" fontId="8" fillId="0" borderId="0" xfId="0" applyNumberFormat="1" applyFont="1" applyAlignment="1"/>
    <xf numFmtId="0" fontId="8" fillId="0" borderId="0" xfId="0" applyNumberFormat="1" applyFont="1"/>
    <xf numFmtId="0" fontId="11" fillId="0" borderId="0" xfId="0" applyFont="1"/>
    <xf numFmtId="0" fontId="11" fillId="0" borderId="0" xfId="0" applyFont="1" applyAlignment="1"/>
    <xf numFmtId="4" fontId="6" fillId="8" borderId="1" xfId="7" applyNumberFormat="1" applyFont="1" applyFill="1" applyBorder="1" applyAlignment="1">
      <alignment horizontal="right" vertical="center"/>
    </xf>
    <xf numFmtId="4" fontId="17" fillId="8" borderId="1" xfId="7" applyNumberFormat="1" applyFont="1" applyFill="1" applyBorder="1" applyAlignment="1">
      <alignment horizontal="right" vertical="center"/>
    </xf>
    <xf numFmtId="49" fontId="10" fillId="0" borderId="1" xfId="0" applyNumberFormat="1" applyFont="1" applyBorder="1"/>
    <xf numFmtId="166" fontId="10" fillId="0" borderId="1" xfId="0" applyNumberFormat="1" applyFont="1" applyBorder="1"/>
    <xf numFmtId="49" fontId="8" fillId="0" borderId="0" xfId="0" applyNumberFormat="1" applyFont="1"/>
    <xf numFmtId="49" fontId="8" fillId="0" borderId="1" xfId="0" applyNumberFormat="1" applyFont="1" applyBorder="1" applyAlignment="1">
      <alignment horizontal="left" indent="1"/>
    </xf>
    <xf numFmtId="4" fontId="8" fillId="0" borderId="1" xfId="0" applyNumberFormat="1" applyFont="1" applyBorder="1"/>
    <xf numFmtId="10" fontId="8" fillId="0" borderId="1" xfId="0" applyNumberFormat="1" applyFont="1" applyBorder="1"/>
    <xf numFmtId="49" fontId="17" fillId="8" borderId="1" xfId="7" applyNumberFormat="1" applyFont="1" applyFill="1" applyBorder="1"/>
    <xf numFmtId="4" fontId="17" fillId="8" borderId="1" xfId="7" applyNumberFormat="1" applyFont="1" applyFill="1" applyBorder="1"/>
    <xf numFmtId="0" fontId="8" fillId="0" borderId="0" xfId="0" applyFont="1" applyAlignment="1">
      <alignment horizontal="center" vertical="center"/>
    </xf>
    <xf numFmtId="0" fontId="11" fillId="0" borderId="1" xfId="0" applyFont="1" applyBorder="1" applyAlignment="1">
      <alignment horizontal="right"/>
    </xf>
    <xf numFmtId="0" fontId="8" fillId="0" borderId="1" xfId="0" applyFont="1" applyBorder="1"/>
    <xf numFmtId="0" fontId="11" fillId="0" borderId="1" xfId="0" applyFont="1" applyBorder="1"/>
    <xf numFmtId="49" fontId="10" fillId="2" borderId="1" xfId="1" applyNumberFormat="1" applyFont="1" applyFill="1" applyBorder="1" applyAlignment="1">
      <alignment horizontal="center" vertical="center"/>
    </xf>
    <xf numFmtId="10" fontId="12" fillId="2" borderId="1" xfId="0" applyNumberFormat="1" applyFont="1" applyFill="1" applyBorder="1" applyAlignment="1">
      <alignment horizontal="right" vertical="center"/>
    </xf>
    <xf numFmtId="0" fontId="8" fillId="0" borderId="0" xfId="0" applyFont="1" applyAlignment="1">
      <alignment horizontal="left" vertical="center"/>
    </xf>
    <xf numFmtId="0" fontId="10" fillId="0" borderId="1" xfId="1" applyFont="1" applyBorder="1" applyAlignment="1">
      <alignment horizontal="center" vertical="center"/>
    </xf>
    <xf numFmtId="0" fontId="8" fillId="0" borderId="0" xfId="1" applyNumberFormat="1" applyFont="1" applyAlignment="1"/>
    <xf numFmtId="0" fontId="8" fillId="0" borderId="0" xfId="1" applyNumberFormat="1" applyFont="1"/>
    <xf numFmtId="10" fontId="8" fillId="0" borderId="0" xfId="0" applyNumberFormat="1" applyFont="1" applyAlignment="1"/>
    <xf numFmtId="49" fontId="18" fillId="0" borderId="1" xfId="0" applyNumberFormat="1" applyFont="1" applyBorder="1" applyAlignment="1">
      <alignment horizontal="left" vertical="center"/>
    </xf>
    <xf numFmtId="4" fontId="19" fillId="2" borderId="1" xfId="0" applyNumberFormat="1" applyFont="1" applyFill="1" applyBorder="1" applyAlignment="1">
      <alignment horizontal="right" vertical="center"/>
    </xf>
    <xf numFmtId="10" fontId="19" fillId="2" borderId="1" xfId="0" applyNumberFormat="1" applyFont="1" applyFill="1" applyBorder="1" applyAlignment="1">
      <alignment horizontal="right" vertical="center"/>
    </xf>
    <xf numFmtId="10" fontId="11" fillId="0" borderId="0" xfId="0" applyNumberFormat="1" applyFont="1" applyAlignment="1">
      <alignment horizontal="right"/>
    </xf>
    <xf numFmtId="4" fontId="10" fillId="2" borderId="1" xfId="1" applyNumberFormat="1" applyFont="1" applyFill="1" applyBorder="1" applyAlignment="1">
      <alignment horizontal="center" vertical="center"/>
    </xf>
    <xf numFmtId="10" fontId="10" fillId="2" borderId="1" xfId="1" applyNumberFormat="1" applyFont="1" applyFill="1" applyBorder="1" applyAlignment="1">
      <alignment horizontal="center" vertical="center"/>
    </xf>
    <xf numFmtId="0" fontId="10" fillId="0" borderId="0" xfId="1" applyFont="1" applyAlignment="1">
      <alignment horizontal="right"/>
    </xf>
    <xf numFmtId="0" fontId="8" fillId="0" borderId="0" xfId="0" applyNumberFormat="1" applyFont="1" applyAlignment="1">
      <alignment horizontal="right"/>
    </xf>
    <xf numFmtId="10" fontId="8" fillId="0" borderId="0" xfId="0" applyNumberFormat="1" applyFont="1"/>
    <xf numFmtId="0" fontId="11" fillId="0" borderId="0" xfId="0" applyFont="1" applyAlignment="1">
      <alignment horizontal="left"/>
    </xf>
    <xf numFmtId="49" fontId="10" fillId="2" borderId="1" xfId="1" applyNumberFormat="1" applyFont="1" applyFill="1" applyBorder="1" applyAlignment="1">
      <alignment horizontal="left" vertical="center" wrapText="1"/>
    </xf>
    <xf numFmtId="0" fontId="8" fillId="0" borderId="0" xfId="0" applyFont="1" applyAlignment="1">
      <alignment horizontal="left"/>
    </xf>
    <xf numFmtId="4" fontId="20" fillId="0" borderId="0" xfId="0" applyNumberFormat="1" applyFont="1" applyAlignment="1"/>
    <xf numFmtId="10" fontId="21" fillId="11" borderId="1" xfId="9" applyNumberFormat="1" applyFont="1" applyFill="1" applyBorder="1" applyAlignment="1">
      <alignment horizontal="right"/>
    </xf>
    <xf numFmtId="49" fontId="22" fillId="2" borderId="1" xfId="0" applyNumberFormat="1" applyFont="1" applyFill="1" applyBorder="1" applyAlignment="1">
      <alignment horizontal="center" vertical="center"/>
    </xf>
    <xf numFmtId="4" fontId="22" fillId="2" borderId="1" xfId="0" applyNumberFormat="1" applyFont="1" applyFill="1" applyBorder="1" applyAlignment="1">
      <alignment horizontal="center" vertical="center"/>
    </xf>
    <xf numFmtId="0" fontId="10" fillId="0" borderId="0" xfId="1" applyNumberFormat="1" applyFont="1" applyAlignment="1">
      <alignment horizontal="center" vertical="center"/>
    </xf>
    <xf numFmtId="49" fontId="10" fillId="2" borderId="1" xfId="1" applyNumberFormat="1" applyFont="1" applyFill="1" applyBorder="1" applyAlignment="1">
      <alignment wrapText="1"/>
    </xf>
    <xf numFmtId="0" fontId="10" fillId="0" borderId="0" xfId="1" applyNumberFormat="1" applyFont="1" applyAlignment="1"/>
    <xf numFmtId="0" fontId="10" fillId="0" borderId="0" xfId="1" applyNumberFormat="1" applyFont="1"/>
    <xf numFmtId="164" fontId="23" fillId="8" borderId="1" xfId="7" applyNumberFormat="1" applyFont="1" applyFill="1" applyBorder="1" applyAlignment="1">
      <alignment horizontal="right" vertical="center"/>
    </xf>
    <xf numFmtId="10" fontId="23" fillId="8" borderId="1" xfId="9" applyNumberFormat="1" applyFont="1" applyFill="1" applyBorder="1" applyAlignment="1">
      <alignment horizontal="right" vertical="center"/>
    </xf>
    <xf numFmtId="164" fontId="6" fillId="8" borderId="1" xfId="7" applyNumberFormat="1" applyFont="1" applyFill="1" applyBorder="1" applyAlignment="1">
      <alignment horizontal="right" vertical="center"/>
    </xf>
    <xf numFmtId="10" fontId="6" fillId="8" borderId="1" xfId="9" applyNumberFormat="1" applyFont="1" applyFill="1" applyBorder="1" applyAlignment="1">
      <alignment horizontal="right" vertical="center"/>
    </xf>
    <xf numFmtId="4" fontId="23" fillId="8" borderId="1" xfId="7" applyNumberFormat="1" applyFont="1" applyFill="1" applyBorder="1" applyAlignment="1">
      <alignment horizontal="right" vertical="center"/>
    </xf>
    <xf numFmtId="4" fontId="10" fillId="2" borderId="1" xfId="1" applyNumberFormat="1" applyFont="1" applyFill="1" applyBorder="1" applyAlignment="1">
      <alignment horizontal="center"/>
    </xf>
    <xf numFmtId="10" fontId="10" fillId="2" borderId="1" xfId="1" applyNumberFormat="1" applyFont="1" applyFill="1" applyBorder="1" applyAlignment="1">
      <alignment horizontal="center"/>
    </xf>
    <xf numFmtId="4" fontId="6" fillId="8" borderId="1" xfId="7" applyNumberFormat="1" applyFont="1" applyFill="1" applyBorder="1" applyAlignment="1">
      <alignment horizontal="right"/>
    </xf>
    <xf numFmtId="165" fontId="8" fillId="0" borderId="0" xfId="0" applyNumberFormat="1" applyFont="1"/>
    <xf numFmtId="165" fontId="8" fillId="0" borderId="0" xfId="0" applyNumberFormat="1" applyFont="1" applyAlignment="1"/>
    <xf numFmtId="165" fontId="11" fillId="0" borderId="0" xfId="0" applyNumberFormat="1" applyFont="1" applyAlignment="1">
      <alignment horizontal="right"/>
    </xf>
    <xf numFmtId="165" fontId="10" fillId="2" borderId="1" xfId="1" applyNumberFormat="1" applyFont="1" applyFill="1" applyBorder="1" applyAlignment="1">
      <alignment horizontal="center" vertical="center"/>
    </xf>
    <xf numFmtId="0" fontId="14" fillId="0" borderId="0" xfId="0" applyFont="1" applyAlignment="1"/>
    <xf numFmtId="165" fontId="6" fillId="8" borderId="1" xfId="7" applyNumberFormat="1" applyFont="1" applyFill="1" applyBorder="1" applyAlignment="1">
      <alignment horizontal="right" vertical="center"/>
    </xf>
    <xf numFmtId="10" fontId="6" fillId="8" borderId="1" xfId="7" applyNumberFormat="1" applyFont="1" applyFill="1" applyBorder="1" applyAlignment="1">
      <alignment horizontal="right" vertical="center"/>
    </xf>
    <xf numFmtId="165" fontId="6" fillId="8" borderId="1" xfId="7" applyNumberFormat="1" applyFont="1" applyFill="1" applyBorder="1" applyAlignment="1">
      <alignment horizontal="right"/>
    </xf>
    <xf numFmtId="10" fontId="6" fillId="8" borderId="1" xfId="7" applyNumberFormat="1" applyFont="1" applyFill="1" applyBorder="1" applyAlignment="1">
      <alignment horizontal="right"/>
    </xf>
    <xf numFmtId="49" fontId="10" fillId="3" borderId="1" xfId="1" applyNumberFormat="1" applyFont="1" applyFill="1" applyBorder="1" applyAlignment="1">
      <alignment horizontal="left" vertical="center"/>
    </xf>
    <xf numFmtId="49" fontId="10" fillId="2" borderId="1" xfId="1" applyNumberFormat="1" applyFont="1" applyFill="1" applyBorder="1" applyAlignment="1">
      <alignment horizontal="left" vertical="center"/>
    </xf>
    <xf numFmtId="49" fontId="12" fillId="2" borderId="1" xfId="0" applyNumberFormat="1" applyFont="1" applyFill="1" applyBorder="1" applyAlignment="1">
      <alignment horizontal="left" vertical="center"/>
    </xf>
    <xf numFmtId="0" fontId="8" fillId="0" borderId="0" xfId="0" applyFont="1" applyAlignment="1">
      <alignment wrapText="1"/>
    </xf>
    <xf numFmtId="49" fontId="24" fillId="11" borderId="1" xfId="1" applyNumberFormat="1" applyFont="1" applyFill="1" applyBorder="1" applyAlignment="1">
      <alignment horizontal="left" vertical="center" indent="2"/>
    </xf>
    <xf numFmtId="164" fontId="24" fillId="11" borderId="1" xfId="1" applyNumberFormat="1" applyFont="1" applyFill="1" applyBorder="1" applyAlignment="1">
      <alignment horizontal="right" vertical="center"/>
    </xf>
    <xf numFmtId="10" fontId="24" fillId="11" borderId="1" xfId="9" applyNumberFormat="1" applyFont="1" applyFill="1" applyBorder="1" applyAlignment="1">
      <alignment horizontal="right" vertical="center"/>
    </xf>
    <xf numFmtId="10" fontId="21" fillId="11" borderId="1" xfId="9" applyNumberFormat="1" applyFont="1" applyFill="1" applyBorder="1" applyAlignment="1">
      <alignment horizontal="right" vertical="center"/>
    </xf>
    <xf numFmtId="49" fontId="10" fillId="11" borderId="1" xfId="1" applyNumberFormat="1" applyFont="1" applyFill="1" applyBorder="1" applyAlignment="1">
      <alignment horizontal="center" vertical="center" wrapText="1"/>
    </xf>
    <xf numFmtId="49" fontId="10" fillId="11" borderId="1" xfId="1" applyNumberFormat="1" applyFont="1" applyFill="1" applyBorder="1" applyAlignment="1">
      <alignment horizontal="center" vertical="center"/>
    </xf>
    <xf numFmtId="0" fontId="8" fillId="0" borderId="0" xfId="0" applyFont="1" applyAlignment="1">
      <alignment horizontal="right"/>
    </xf>
    <xf numFmtId="164" fontId="17" fillId="8" borderId="1" xfId="7" applyNumberFormat="1" applyFont="1" applyFill="1" applyBorder="1" applyAlignment="1">
      <alignment horizontal="right" vertical="center"/>
    </xf>
    <xf numFmtId="0" fontId="10" fillId="0" borderId="1" xfId="1" applyFont="1" applyBorder="1"/>
    <xf numFmtId="49" fontId="8" fillId="0" borderId="1" xfId="0" applyNumberFormat="1" applyFont="1" applyBorder="1" applyAlignment="1">
      <alignment horizontal="left" vertical="center" indent="1"/>
    </xf>
    <xf numFmtId="0" fontId="20" fillId="0" borderId="0" xfId="0" applyFont="1"/>
    <xf numFmtId="0" fontId="20" fillId="0" borderId="0" xfId="0" applyFont="1" applyAlignment="1"/>
    <xf numFmtId="0" fontId="26" fillId="0" borderId="0" xfId="0" applyFont="1" applyAlignment="1">
      <alignment horizontal="right"/>
    </xf>
    <xf numFmtId="164" fontId="22" fillId="3" borderId="1" xfId="0" applyNumberFormat="1" applyFont="1" applyFill="1" applyBorder="1" applyAlignment="1">
      <alignment horizontal="right" vertical="center"/>
    </xf>
    <xf numFmtId="0" fontId="8" fillId="0" borderId="1" xfId="0" applyFont="1" applyFill="1" applyBorder="1" applyAlignment="1"/>
    <xf numFmtId="4" fontId="8" fillId="0" borderId="1" xfId="0" applyNumberFormat="1" applyFont="1" applyFill="1" applyBorder="1" applyAlignment="1"/>
    <xf numFmtId="0" fontId="10" fillId="2" borderId="1" xfId="0" applyFont="1" applyFill="1" applyBorder="1" applyAlignment="1"/>
    <xf numFmtId="0" fontId="8" fillId="2" borderId="1" xfId="0" applyFont="1" applyFill="1" applyBorder="1" applyAlignment="1"/>
    <xf numFmtId="4" fontId="20" fillId="0" borderId="0" xfId="0" applyNumberFormat="1" applyFont="1" applyAlignment="1">
      <alignment horizontal="center" vertical="center"/>
    </xf>
    <xf numFmtId="0" fontId="27" fillId="0" borderId="1" xfId="0" applyFont="1" applyFill="1" applyBorder="1" applyAlignment="1"/>
    <xf numFmtId="4" fontId="27" fillId="0" borderId="1" xfId="0" applyNumberFormat="1" applyFont="1" applyFill="1" applyBorder="1" applyAlignment="1"/>
    <xf numFmtId="0" fontId="5" fillId="6" borderId="1" xfId="4" applyFont="1" applyFill="1" applyBorder="1" applyAlignment="1"/>
    <xf numFmtId="4" fontId="5" fillId="6" borderId="1" xfId="4" applyNumberFormat="1" applyFont="1" applyFill="1" applyBorder="1" applyAlignment="1"/>
    <xf numFmtId="164" fontId="23" fillId="12" borderId="1" xfId="8" applyNumberFormat="1" applyFont="1" applyFill="1" applyBorder="1" applyAlignment="1">
      <alignment horizontal="right" vertical="center"/>
    </xf>
    <xf numFmtId="10" fontId="23" fillId="12" borderId="1" xfId="9" applyNumberFormat="1" applyFont="1" applyFill="1" applyBorder="1" applyAlignment="1">
      <alignment horizontal="right" vertical="center"/>
    </xf>
    <xf numFmtId="164" fontId="23" fillId="13" borderId="1" xfId="8" applyNumberFormat="1" applyFont="1" applyFill="1" applyBorder="1" applyAlignment="1">
      <alignment horizontal="right" vertical="center"/>
    </xf>
    <xf numFmtId="10" fontId="23" fillId="13" borderId="1" xfId="9" applyNumberFormat="1" applyFont="1" applyFill="1" applyBorder="1" applyAlignment="1">
      <alignment horizontal="right" vertical="center"/>
    </xf>
    <xf numFmtId="164" fontId="6" fillId="13" borderId="1" xfId="8" applyNumberFormat="1" applyFont="1" applyFill="1" applyBorder="1" applyAlignment="1">
      <alignment horizontal="right" vertical="center"/>
    </xf>
    <xf numFmtId="10" fontId="6" fillId="13" borderId="1" xfId="9" applyNumberFormat="1" applyFont="1" applyFill="1" applyBorder="1" applyAlignment="1">
      <alignment horizontal="right" vertical="center"/>
    </xf>
    <xf numFmtId="4" fontId="6" fillId="13" borderId="1" xfId="8" applyNumberFormat="1" applyFont="1" applyFill="1" applyBorder="1" applyAlignment="1">
      <alignment horizontal="right" vertical="center"/>
    </xf>
    <xf numFmtId="10" fontId="6" fillId="13" borderId="1" xfId="8" applyNumberFormat="1" applyFont="1" applyFill="1" applyBorder="1" applyAlignment="1">
      <alignment horizontal="right" vertical="center"/>
    </xf>
    <xf numFmtId="0" fontId="17" fillId="0" borderId="0" xfId="1" applyNumberFormat="1" applyFont="1" applyAlignment="1">
      <alignment horizontal="center" vertical="center"/>
    </xf>
    <xf numFmtId="4" fontId="23" fillId="12" borderId="1" xfId="8" applyNumberFormat="1" applyFont="1" applyFill="1" applyBorder="1" applyAlignment="1">
      <alignment horizontal="right" vertical="center"/>
    </xf>
    <xf numFmtId="10" fontId="23" fillId="12" borderId="1" xfId="8" applyNumberFormat="1" applyFont="1" applyFill="1" applyBorder="1" applyAlignment="1">
      <alignment horizontal="right" vertical="center"/>
    </xf>
    <xf numFmtId="0" fontId="29" fillId="0" borderId="0" xfId="1" applyNumberFormat="1" applyFont="1" applyAlignment="1">
      <alignment horizontal="center" vertical="center"/>
    </xf>
    <xf numFmtId="164" fontId="6" fillId="12" borderId="1" xfId="8" applyNumberFormat="1" applyFont="1" applyFill="1" applyBorder="1" applyAlignment="1">
      <alignment horizontal="right"/>
    </xf>
    <xf numFmtId="10" fontId="6" fillId="12" borderId="1" xfId="9" applyNumberFormat="1" applyFont="1" applyFill="1" applyBorder="1" applyAlignment="1">
      <alignment horizontal="right"/>
    </xf>
    <xf numFmtId="0" fontId="29" fillId="0" borderId="0" xfId="1" applyNumberFormat="1" applyFont="1" applyAlignment="1"/>
    <xf numFmtId="0" fontId="29" fillId="0" borderId="0" xfId="1" applyNumberFormat="1" applyFont="1"/>
    <xf numFmtId="0" fontId="29" fillId="0" borderId="0" xfId="1" applyNumberFormat="1" applyFont="1" applyAlignment="1">
      <alignment horizontal="right"/>
    </xf>
    <xf numFmtId="4" fontId="6" fillId="12" borderId="1" xfId="8" applyNumberFormat="1" applyFont="1" applyFill="1" applyBorder="1" applyAlignment="1">
      <alignment horizontal="right"/>
    </xf>
    <xf numFmtId="10" fontId="6" fillId="12" borderId="1" xfId="8" applyNumberFormat="1" applyFont="1" applyFill="1" applyBorder="1" applyAlignment="1">
      <alignment horizontal="right"/>
    </xf>
    <xf numFmtId="10" fontId="23" fillId="13" borderId="1" xfId="8" applyNumberFormat="1" applyFont="1" applyFill="1" applyBorder="1" applyAlignment="1">
      <alignment horizontal="right" vertical="center"/>
    </xf>
    <xf numFmtId="4" fontId="23" fillId="13" borderId="1" xfId="8" applyNumberFormat="1" applyFont="1" applyFill="1" applyBorder="1" applyAlignment="1">
      <alignment horizontal="right" vertical="center"/>
    </xf>
    <xf numFmtId="0" fontId="29" fillId="0" borderId="0" xfId="0" applyFont="1" applyAlignment="1">
      <alignment horizontal="right"/>
    </xf>
    <xf numFmtId="0" fontId="13" fillId="10" borderId="1" xfId="1" applyNumberFormat="1" applyFont="1" applyFill="1" applyBorder="1" applyAlignment="1">
      <alignment horizontal="left" vertical="center" wrapText="1"/>
    </xf>
    <xf numFmtId="0" fontId="23" fillId="12" borderId="1" xfId="8" applyNumberFormat="1" applyFont="1" applyFill="1" applyBorder="1" applyAlignment="1">
      <alignment horizontal="left" vertical="center"/>
    </xf>
    <xf numFmtId="0" fontId="10" fillId="2" borderId="1" xfId="1" applyNumberFormat="1" applyFont="1" applyFill="1" applyBorder="1" applyAlignment="1">
      <alignment horizontal="center" vertical="center"/>
    </xf>
    <xf numFmtId="0" fontId="23" fillId="8" borderId="1" xfId="7" applyNumberFormat="1" applyFont="1" applyFill="1" applyBorder="1" applyAlignment="1">
      <alignment horizontal="left" vertical="center"/>
    </xf>
    <xf numFmtId="0" fontId="23" fillId="13" borderId="1" xfId="8" applyNumberFormat="1" applyFont="1" applyFill="1" applyBorder="1" applyAlignment="1">
      <alignment horizontal="left" vertical="center"/>
    </xf>
    <xf numFmtId="49" fontId="0" fillId="0" borderId="0" xfId="0" applyNumberFormat="1"/>
    <xf numFmtId="0" fontId="0" fillId="0" borderId="0" xfId="0" applyAlignment="1">
      <alignment wrapText="1"/>
    </xf>
    <xf numFmtId="0" fontId="11" fillId="0" borderId="0" xfId="0" applyNumberFormat="1" applyFont="1" applyAlignment="1">
      <alignment horizontal="right"/>
    </xf>
    <xf numFmtId="0" fontId="17" fillId="8" borderId="1" xfId="7" applyNumberFormat="1" applyFont="1" applyFill="1" applyBorder="1" applyAlignment="1">
      <alignment horizontal="left" vertical="center" wrapText="1"/>
    </xf>
    <xf numFmtId="0" fontId="17" fillId="8" borderId="1" xfId="7" applyNumberFormat="1" applyFont="1" applyFill="1" applyBorder="1" applyAlignment="1">
      <alignment horizontal="left" vertical="center"/>
    </xf>
    <xf numFmtId="0" fontId="6" fillId="12" borderId="1" xfId="8" applyNumberFormat="1" applyFont="1" applyFill="1" applyBorder="1" applyAlignment="1">
      <alignment horizontal="left"/>
    </xf>
    <xf numFmtId="0" fontId="6" fillId="8" borderId="1" xfId="7" applyNumberFormat="1" applyFont="1" applyFill="1" applyBorder="1" applyAlignment="1">
      <alignment horizontal="left" vertical="center"/>
    </xf>
    <xf numFmtId="0" fontId="8" fillId="0" borderId="0" xfId="0" applyNumberFormat="1" applyFont="1" applyAlignment="1">
      <alignment horizontal="left"/>
    </xf>
    <xf numFmtId="0" fontId="6" fillId="8" borderId="1" xfId="7" applyNumberFormat="1" applyFont="1" applyFill="1" applyBorder="1" applyAlignment="1">
      <alignment horizontal="left"/>
    </xf>
    <xf numFmtId="0" fontId="6" fillId="13" borderId="1" xfId="8" applyNumberFormat="1" applyFont="1" applyFill="1" applyBorder="1" applyAlignment="1">
      <alignment horizontal="left" vertical="center"/>
    </xf>
    <xf numFmtId="0" fontId="6" fillId="13" borderId="1" xfId="8" applyNumberFormat="1" applyFont="1" applyFill="1" applyBorder="1" applyAlignment="1">
      <alignment horizontal="left" vertical="center"/>
    </xf>
    <xf numFmtId="0" fontId="22" fillId="2" borderId="1"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xf>
    <xf numFmtId="0" fontId="20" fillId="0" borderId="0" xfId="0" applyNumberFormat="1" applyFont="1" applyAlignment="1">
      <alignment horizontal="center" vertical="center"/>
    </xf>
    <xf numFmtId="0" fontId="8" fillId="10" borderId="0" xfId="0" applyFont="1" applyFill="1"/>
    <xf numFmtId="49" fontId="12" fillId="11" borderId="1" xfId="0" applyNumberFormat="1" applyFont="1" applyFill="1" applyBorder="1" applyAlignment="1">
      <alignment horizontal="left" vertical="center" indent="1"/>
    </xf>
    <xf numFmtId="4" fontId="12" fillId="11" borderId="1" xfId="0" applyNumberFormat="1" applyFont="1" applyFill="1" applyBorder="1" applyAlignment="1">
      <alignment horizontal="right"/>
    </xf>
    <xf numFmtId="4" fontId="8" fillId="14" borderId="1" xfId="0" applyNumberFormat="1" applyFont="1" applyFill="1" applyBorder="1" applyAlignment="1"/>
    <xf numFmtId="49" fontId="12" fillId="11" borderId="1" xfId="0" applyNumberFormat="1" applyFont="1" applyFill="1" applyBorder="1" applyAlignment="1">
      <alignment horizontal="left" indent="1"/>
    </xf>
    <xf numFmtId="10" fontId="12" fillId="11" borderId="1" xfId="0" applyNumberFormat="1" applyFont="1" applyFill="1" applyBorder="1" applyAlignment="1">
      <alignment horizontal="right"/>
    </xf>
    <xf numFmtId="10" fontId="8" fillId="14" borderId="1" xfId="0" applyNumberFormat="1" applyFont="1" applyFill="1" applyBorder="1" applyAlignment="1"/>
    <xf numFmtId="4" fontId="12" fillId="11" borderId="1" xfId="0" applyNumberFormat="1" applyFont="1" applyFill="1" applyBorder="1" applyAlignment="1">
      <alignment horizontal="right" vertical="center"/>
    </xf>
    <xf numFmtId="4" fontId="8" fillId="14" borderId="1" xfId="0" applyNumberFormat="1" applyFont="1" applyFill="1" applyBorder="1" applyAlignment="1">
      <alignment horizontal="center" vertical="center"/>
    </xf>
    <xf numFmtId="49" fontId="30" fillId="15" borderId="1" xfId="8" applyNumberFormat="1" applyFont="1" applyFill="1" applyBorder="1" applyAlignment="1">
      <alignment horizontal="left" vertical="center" wrapText="1" indent="1"/>
    </xf>
    <xf numFmtId="164" fontId="30" fillId="15" borderId="1" xfId="8" applyNumberFormat="1" applyFont="1" applyFill="1" applyBorder="1" applyAlignment="1">
      <alignment horizontal="right" vertical="center"/>
    </xf>
    <xf numFmtId="49" fontId="7" fillId="16" borderId="1" xfId="6" applyNumberFormat="1" applyFont="1" applyFill="1" applyBorder="1" applyAlignment="1">
      <alignment horizontal="left" vertical="center" wrapText="1" indent="2"/>
    </xf>
    <xf numFmtId="164" fontId="7" fillId="16" borderId="1" xfId="6" applyNumberFormat="1" applyFont="1" applyFill="1" applyBorder="1" applyAlignment="1">
      <alignment horizontal="right" vertical="center"/>
    </xf>
    <xf numFmtId="49" fontId="8" fillId="11" borderId="1" xfId="1" applyNumberFormat="1" applyFont="1" applyFill="1" applyBorder="1" applyAlignment="1">
      <alignment horizontal="left" vertical="center" indent="3"/>
    </xf>
    <xf numFmtId="4" fontId="8" fillId="11" borderId="1" xfId="1" applyNumberFormat="1" applyFont="1" applyFill="1" applyBorder="1" applyAlignment="1">
      <alignment horizontal="right" vertical="center"/>
    </xf>
    <xf numFmtId="49" fontId="12" fillId="11" borderId="1" xfId="0" applyNumberFormat="1" applyFont="1" applyFill="1" applyBorder="1" applyAlignment="1">
      <alignment horizontal="left" vertical="center" indent="4"/>
    </xf>
    <xf numFmtId="0" fontId="8" fillId="14" borderId="5" xfId="0" applyFont="1" applyFill="1" applyBorder="1" applyAlignment="1">
      <alignment indent="4"/>
    </xf>
    <xf numFmtId="4" fontId="8" fillId="14" borderId="5" xfId="0" applyNumberFormat="1" applyFont="1" applyFill="1" applyBorder="1" applyAlignment="1"/>
    <xf numFmtId="0" fontId="8" fillId="14" borderId="5" xfId="0" applyFont="1" applyFill="1" applyBorder="1" applyAlignment="1">
      <alignment indent="3"/>
    </xf>
    <xf numFmtId="0" fontId="24" fillId="17" borderId="5" xfId="0" applyFont="1" applyFill="1" applyBorder="1" applyAlignment="1">
      <alignment indent="2"/>
    </xf>
    <xf numFmtId="4" fontId="24" fillId="17" borderId="5" xfId="0" applyNumberFormat="1" applyFont="1" applyFill="1" applyBorder="1" applyAlignment="1"/>
    <xf numFmtId="0" fontId="32" fillId="18" borderId="5" xfId="0" applyFont="1" applyFill="1" applyBorder="1" applyAlignment="1">
      <alignment indent="1"/>
    </xf>
    <xf numFmtId="4" fontId="32" fillId="18" borderId="5" xfId="0" applyNumberFormat="1" applyFont="1" applyFill="1" applyBorder="1" applyAlignment="1"/>
    <xf numFmtId="49" fontId="30" fillId="19" borderId="1" xfId="7" applyNumberFormat="1" applyFont="1" applyFill="1" applyBorder="1" applyAlignment="1">
      <alignment horizontal="left" vertical="center" wrapText="1" indent="1"/>
    </xf>
    <xf numFmtId="164" fontId="30" fillId="19" borderId="1" xfId="7" applyNumberFormat="1" applyFont="1" applyFill="1" applyBorder="1" applyAlignment="1">
      <alignment horizontal="right" vertical="center"/>
    </xf>
    <xf numFmtId="49" fontId="7" fillId="20" borderId="1" xfId="5" applyNumberFormat="1" applyFont="1" applyFill="1" applyBorder="1" applyAlignment="1">
      <alignment horizontal="left" vertical="center" wrapText="1" indent="2"/>
    </xf>
    <xf numFmtId="164" fontId="7" fillId="20" borderId="1" xfId="5" applyNumberFormat="1" applyFont="1" applyFill="1" applyBorder="1" applyAlignment="1">
      <alignment horizontal="right" vertical="center"/>
    </xf>
    <xf numFmtId="0" fontId="24" fillId="21" borderId="5" xfId="0" applyFont="1" applyFill="1" applyBorder="1" applyAlignment="1">
      <alignment indent="2"/>
    </xf>
    <xf numFmtId="4" fontId="24" fillId="21" borderId="5" xfId="0" applyNumberFormat="1" applyFont="1" applyFill="1" applyBorder="1" applyAlignment="1"/>
    <xf numFmtId="0" fontId="32" fillId="22" borderId="5" xfId="0" applyFont="1" applyFill="1" applyBorder="1" applyAlignment="1">
      <alignment indent="1"/>
    </xf>
    <xf numFmtId="4" fontId="32" fillId="22" borderId="5" xfId="0" applyNumberFormat="1" applyFont="1" applyFill="1" applyBorder="1" applyAlignment="1"/>
    <xf numFmtId="49" fontId="24" fillId="23" borderId="1" xfId="1" applyNumberFormat="1" applyFont="1" applyFill="1" applyBorder="1" applyAlignment="1">
      <alignment horizontal="left" vertical="center" indent="1"/>
    </xf>
    <xf numFmtId="164" fontId="24" fillId="23" borderId="1" xfId="1" applyNumberFormat="1" applyFont="1" applyFill="1" applyBorder="1" applyAlignment="1">
      <alignment horizontal="right" vertical="center"/>
    </xf>
    <xf numFmtId="10" fontId="24" fillId="23" borderId="1" xfId="9" applyNumberFormat="1" applyFont="1" applyFill="1" applyBorder="1" applyAlignment="1">
      <alignment horizontal="right" vertical="center"/>
    </xf>
    <xf numFmtId="49" fontId="25" fillId="24" borderId="1" xfId="2" applyNumberFormat="1" applyFont="1" applyFill="1" applyBorder="1" applyAlignment="1">
      <alignment horizontal="left" vertical="center" indent="3"/>
    </xf>
    <xf numFmtId="164" fontId="25" fillId="24" borderId="1" xfId="2" applyNumberFormat="1" applyFont="1" applyFill="1" applyBorder="1" applyAlignment="1">
      <alignment horizontal="right" vertical="center"/>
    </xf>
    <xf numFmtId="10" fontId="25" fillId="24" borderId="1" xfId="9" applyNumberFormat="1" applyFont="1" applyFill="1" applyBorder="1" applyAlignment="1">
      <alignment horizontal="right" vertical="center"/>
    </xf>
    <xf numFmtId="49" fontId="21" fillId="11" borderId="1" xfId="0" applyNumberFormat="1" applyFont="1" applyFill="1" applyBorder="1" applyAlignment="1">
      <alignment horizontal="left" vertical="center" indent="4"/>
    </xf>
    <xf numFmtId="164" fontId="21" fillId="11" borderId="1" xfId="0" applyNumberFormat="1" applyFont="1" applyFill="1" applyBorder="1" applyAlignment="1">
      <alignment horizontal="right" vertical="center"/>
    </xf>
    <xf numFmtId="10" fontId="8" fillId="14" borderId="5" xfId="0" applyNumberFormat="1" applyFont="1" applyFill="1" applyBorder="1" applyAlignment="1"/>
    <xf numFmtId="0" fontId="18" fillId="25" borderId="5" xfId="0" applyFont="1" applyFill="1" applyBorder="1" applyAlignment="1">
      <alignment indent="3"/>
    </xf>
    <xf numFmtId="4" fontId="18" fillId="25" borderId="5" xfId="0" applyNumberFormat="1" applyFont="1" applyFill="1" applyBorder="1" applyAlignment="1"/>
    <xf numFmtId="10" fontId="18" fillId="25" borderId="5" xfId="0" applyNumberFormat="1" applyFont="1" applyFill="1" applyBorder="1" applyAlignment="1"/>
    <xf numFmtId="0" fontId="24" fillId="14" borderId="5" xfId="0" applyFont="1" applyFill="1" applyBorder="1" applyAlignment="1">
      <alignment indent="2"/>
    </xf>
    <xf numFmtId="4" fontId="24" fillId="14" borderId="5" xfId="0" applyNumberFormat="1" applyFont="1" applyFill="1" applyBorder="1" applyAlignment="1"/>
    <xf numFmtId="10" fontId="24" fillId="14" borderId="5" xfId="0" applyNumberFormat="1" applyFont="1" applyFill="1" applyBorder="1" applyAlignment="1"/>
    <xf numFmtId="0" fontId="24" fillId="26" borderId="5" xfId="0" applyFont="1" applyFill="1" applyBorder="1" applyAlignment="1">
      <alignment indent="1"/>
    </xf>
    <xf numFmtId="4" fontId="24" fillId="26" borderId="5" xfId="0" applyNumberFormat="1" applyFont="1" applyFill="1" applyBorder="1" applyAlignment="1"/>
    <xf numFmtId="10" fontId="24" fillId="26" borderId="5" xfId="0" applyNumberFormat="1" applyFont="1" applyFill="1" applyBorder="1" applyAlignment="1"/>
    <xf numFmtId="49" fontId="25" fillId="16" borderId="1" xfId="3" applyNumberFormat="1" applyFont="1" applyFill="1" applyBorder="1" applyAlignment="1">
      <alignment horizontal="left" vertical="center" indent="3"/>
    </xf>
    <xf numFmtId="164" fontId="25" fillId="16" borderId="1" xfId="3" applyNumberFormat="1" applyFont="1" applyFill="1" applyBorder="1" applyAlignment="1">
      <alignment horizontal="right" vertical="center"/>
    </xf>
    <xf numFmtId="10" fontId="25" fillId="16" borderId="1" xfId="9" applyNumberFormat="1" applyFont="1" applyFill="1" applyBorder="1" applyAlignment="1">
      <alignment horizontal="right" vertical="center"/>
    </xf>
    <xf numFmtId="0" fontId="18" fillId="17" borderId="5" xfId="0" applyFont="1" applyFill="1" applyBorder="1" applyAlignment="1">
      <alignment indent="3"/>
    </xf>
    <xf numFmtId="4" fontId="18" fillId="17" borderId="5" xfId="0" applyNumberFormat="1" applyFont="1" applyFill="1" applyBorder="1" applyAlignment="1"/>
    <xf numFmtId="10" fontId="18" fillId="17" borderId="5" xfId="0" applyNumberFormat="1" applyFont="1" applyFill="1" applyBorder="1" applyAlignment="1"/>
    <xf numFmtId="49" fontId="33" fillId="27" borderId="1" xfId="0" applyNumberFormat="1" applyFont="1" applyFill="1" applyBorder="1" applyAlignment="1">
      <alignment horizontal="left" vertical="center" indent="3"/>
    </xf>
    <xf numFmtId="164" fontId="33" fillId="27" borderId="1" xfId="0" applyNumberFormat="1" applyFont="1" applyFill="1" applyBorder="1" applyAlignment="1">
      <alignment horizontal="right" vertical="center"/>
    </xf>
    <xf numFmtId="10" fontId="33" fillId="27" borderId="1" xfId="9" applyNumberFormat="1" applyFont="1" applyFill="1" applyBorder="1" applyAlignment="1">
      <alignment horizontal="right" vertical="center"/>
    </xf>
    <xf numFmtId="0" fontId="24" fillId="14" borderId="5" xfId="0" applyFont="1" applyFill="1" applyBorder="1" applyAlignment="1">
      <alignment wrapText="1" indent="2"/>
    </xf>
    <xf numFmtId="0" fontId="18" fillId="17" borderId="5" xfId="0" applyFont="1" applyFill="1" applyBorder="1" applyAlignment="1">
      <alignment wrapText="1" indent="3"/>
    </xf>
    <xf numFmtId="0" fontId="24" fillId="26" borderId="5" xfId="0" applyFont="1" applyFill="1" applyBorder="1" applyAlignment="1">
      <alignment wrapText="1" indent="1"/>
    </xf>
    <xf numFmtId="4" fontId="8" fillId="11" borderId="1" xfId="1" applyNumberFormat="1" applyFont="1" applyFill="1" applyBorder="1" applyAlignment="1">
      <alignment horizontal="right" vertical="center"/>
    </xf>
    <xf numFmtId="10" fontId="8" fillId="11" borderId="1" xfId="1" applyNumberFormat="1" applyFont="1" applyFill="1" applyBorder="1" applyAlignment="1">
      <alignment horizontal="right" vertical="center"/>
    </xf>
    <xf numFmtId="10" fontId="8" fillId="11" borderId="1" xfId="1" applyNumberFormat="1" applyFont="1" applyFill="1" applyBorder="1" applyAlignment="1">
      <alignment horizontal="right" vertical="center"/>
    </xf>
    <xf numFmtId="0" fontId="8" fillId="14" borderId="5" xfId="1" applyNumberFormat="1" applyFont="1" applyFill="1" applyBorder="1" applyAlignment="1">
      <alignment horizontal="center" vertical="center" indent="3"/>
    </xf>
    <xf numFmtId="49" fontId="1" fillId="16" borderId="1" xfId="6" applyNumberFormat="1" applyFont="1" applyFill="1" applyBorder="1" applyAlignment="1">
      <alignment horizontal="left" vertical="center" indent="1"/>
    </xf>
    <xf numFmtId="4" fontId="1" fillId="16" borderId="1" xfId="6" applyNumberFormat="1" applyFont="1" applyFill="1" applyBorder="1" applyAlignment="1">
      <alignment horizontal="right" vertical="center"/>
    </xf>
    <xf numFmtId="10" fontId="1" fillId="16" borderId="1" xfId="6" applyNumberFormat="1" applyFont="1" applyFill="1" applyBorder="1" applyAlignment="1">
      <alignment horizontal="right" vertical="center"/>
    </xf>
    <xf numFmtId="0" fontId="31" fillId="17" borderId="5" xfId="0" applyFont="1" applyFill="1" applyBorder="1" applyAlignment="1">
      <alignment indent="1"/>
    </xf>
    <xf numFmtId="4" fontId="31" fillId="17" borderId="5" xfId="0" applyNumberFormat="1" applyFont="1" applyFill="1" applyBorder="1" applyAlignment="1"/>
    <xf numFmtId="10" fontId="31" fillId="17" borderId="5" xfId="0" applyNumberFormat="1" applyFont="1" applyFill="1" applyBorder="1" applyAlignment="1"/>
    <xf numFmtId="10" fontId="12" fillId="11" borderId="1" xfId="0" applyNumberFormat="1" applyFont="1" applyFill="1" applyBorder="1" applyAlignment="1">
      <alignment horizontal="right" vertical="center"/>
    </xf>
    <xf numFmtId="0" fontId="8" fillId="14" borderId="5" xfId="0" applyFont="1" applyFill="1" applyBorder="1" applyAlignment="1">
      <alignment indent="1"/>
    </xf>
    <xf numFmtId="49" fontId="19" fillId="11" borderId="1" xfId="0" applyNumberFormat="1" applyFont="1" applyFill="1" applyBorder="1" applyAlignment="1">
      <alignment horizontal="left" vertical="center" indent="1"/>
    </xf>
    <xf numFmtId="4" fontId="19" fillId="11" borderId="1" xfId="0" applyNumberFormat="1" applyFont="1" applyFill="1" applyBorder="1" applyAlignment="1">
      <alignment horizontal="right" vertical="center"/>
    </xf>
    <xf numFmtId="10" fontId="19" fillId="11" borderId="1" xfId="0" applyNumberFormat="1" applyFont="1" applyFill="1" applyBorder="1" applyAlignment="1">
      <alignment horizontal="right" vertical="center"/>
    </xf>
    <xf numFmtId="49" fontId="1" fillId="16" borderId="1" xfId="6" applyNumberFormat="1" applyFont="1" applyFill="1" applyBorder="1" applyAlignment="1">
      <alignment horizontal="left" indent="1"/>
    </xf>
    <xf numFmtId="164" fontId="1" fillId="16" borderId="1" xfId="6" applyNumberFormat="1" applyFont="1" applyFill="1" applyBorder="1" applyAlignment="1">
      <alignment horizontal="right"/>
    </xf>
    <xf numFmtId="10" fontId="1" fillId="16" borderId="1" xfId="9" applyNumberFormat="1" applyFont="1" applyFill="1" applyBorder="1" applyAlignment="1">
      <alignment horizontal="right"/>
    </xf>
    <xf numFmtId="49" fontId="12" fillId="11" borderId="1" xfId="0" applyNumberFormat="1" applyFont="1" applyFill="1" applyBorder="1" applyAlignment="1">
      <alignment horizontal="left" indent="2"/>
    </xf>
    <xf numFmtId="0" fontId="8" fillId="14" borderId="5" xfId="0" applyFont="1" applyFill="1" applyBorder="1" applyAlignment="1">
      <alignment horizontal="left" indent="1"/>
    </xf>
    <xf numFmtId="49" fontId="21" fillId="11" borderId="1" xfId="0" applyNumberFormat="1" applyFont="1" applyFill="1" applyBorder="1" applyAlignment="1">
      <alignment horizontal="left" indent="2"/>
    </xf>
    <xf numFmtId="164" fontId="21" fillId="11" borderId="1" xfId="0" applyNumberFormat="1" applyFont="1" applyFill="1" applyBorder="1" applyAlignment="1">
      <alignment horizontal="right"/>
    </xf>
    <xf numFmtId="0" fontId="8" fillId="14" borderId="5" xfId="0" applyFont="1" applyFill="1" applyBorder="1" applyAlignment="1">
      <alignment horizontal="left" indent="2"/>
    </xf>
    <xf numFmtId="0" fontId="31" fillId="17" borderId="5" xfId="0" applyFont="1" applyFill="1" applyBorder="1" applyAlignment="1">
      <alignment horizontal="left" indent="1"/>
    </xf>
    <xf numFmtId="4" fontId="12" fillId="14" borderId="1" xfId="0" applyNumberFormat="1" applyFont="1" applyFill="1" applyBorder="1" applyAlignment="1">
      <alignment horizontal="right" vertical="center"/>
    </xf>
    <xf numFmtId="4" fontId="12" fillId="14" borderId="5" xfId="0" applyNumberFormat="1" applyFont="1" applyFill="1" applyBorder="1" applyAlignment="1">
      <alignment horizontal="right" vertical="center"/>
    </xf>
    <xf numFmtId="4" fontId="1" fillId="16" borderId="1" xfId="6" applyNumberFormat="1" applyFont="1" applyFill="1" applyBorder="1" applyAlignment="1">
      <alignment horizontal="right"/>
    </xf>
    <xf numFmtId="10" fontId="1" fillId="16" borderId="1" xfId="6" applyNumberFormat="1" applyFont="1" applyFill="1" applyBorder="1" applyAlignment="1">
      <alignment horizontal="right"/>
    </xf>
    <xf numFmtId="0" fontId="8" fillId="14" borderId="5" xfId="0" applyFont="1" applyFill="1" applyBorder="1" applyAlignment="1">
      <alignment indent="2"/>
    </xf>
    <xf numFmtId="49" fontId="1" fillId="20" borderId="1" xfId="4" applyNumberFormat="1" applyFont="1" applyFill="1" applyBorder="1" applyAlignment="1">
      <alignment horizontal="left" indent="1"/>
    </xf>
    <xf numFmtId="164" fontId="1" fillId="20" borderId="1" xfId="4" applyNumberFormat="1" applyFont="1" applyFill="1" applyBorder="1" applyAlignment="1">
      <alignment horizontal="right"/>
    </xf>
    <xf numFmtId="10" fontId="1" fillId="20" borderId="1" xfId="9" applyNumberFormat="1" applyFont="1" applyFill="1" applyBorder="1" applyAlignment="1">
      <alignment horizontal="right"/>
    </xf>
    <xf numFmtId="49" fontId="1" fillId="28" borderId="1" xfId="4" applyNumberFormat="1" applyFont="1" applyFill="1" applyBorder="1" applyAlignment="1">
      <alignment horizontal="left" indent="2"/>
    </xf>
    <xf numFmtId="164" fontId="1" fillId="28" borderId="1" xfId="4" applyNumberFormat="1" applyFont="1" applyFill="1" applyBorder="1" applyAlignment="1">
      <alignment horizontal="right"/>
    </xf>
    <xf numFmtId="10" fontId="1" fillId="28" borderId="1" xfId="9" applyNumberFormat="1" applyFont="1" applyFill="1" applyBorder="1" applyAlignment="1">
      <alignment horizontal="right"/>
    </xf>
    <xf numFmtId="49" fontId="12" fillId="11" borderId="1" xfId="0" applyNumberFormat="1" applyFont="1" applyFill="1" applyBorder="1" applyAlignment="1">
      <alignment horizontal="left" indent="3"/>
    </xf>
    <xf numFmtId="0" fontId="8" fillId="14" borderId="5" xfId="0" applyFont="1" applyFill="1" applyBorder="1" applyAlignment="1">
      <alignment horizontal="left" indent="3"/>
    </xf>
    <xf numFmtId="0" fontId="31" fillId="29" borderId="5" xfId="0" applyFont="1" applyFill="1" applyBorder="1" applyAlignment="1">
      <alignment horizontal="left" indent="2"/>
    </xf>
    <xf numFmtId="4" fontId="31" fillId="29" borderId="5" xfId="0" applyNumberFormat="1" applyFont="1" applyFill="1" applyBorder="1" applyAlignment="1"/>
    <xf numFmtId="10" fontId="31" fillId="29" borderId="5" xfId="0" applyNumberFormat="1" applyFont="1" applyFill="1" applyBorder="1" applyAlignment="1"/>
    <xf numFmtId="0" fontId="31" fillId="21" borderId="5" xfId="0" applyFont="1" applyFill="1" applyBorder="1" applyAlignment="1">
      <alignment indent="1"/>
    </xf>
    <xf numFmtId="4" fontId="31" fillId="21" borderId="5" xfId="0" applyNumberFormat="1" applyFont="1" applyFill="1" applyBorder="1" applyAlignment="1"/>
    <xf numFmtId="10" fontId="31" fillId="21" borderId="5" xfId="0" applyNumberFormat="1" applyFont="1" applyFill="1" applyBorder="1" applyAlignment="1"/>
    <xf numFmtId="0" fontId="31" fillId="29" borderId="5" xfId="0" applyFont="1" applyFill="1" applyBorder="1" applyAlignment="1">
      <alignment indent="2"/>
    </xf>
    <xf numFmtId="4" fontId="1" fillId="20" borderId="1" xfId="4" applyNumberFormat="1" applyFont="1" applyFill="1" applyBorder="1" applyAlignment="1">
      <alignment horizontal="right"/>
    </xf>
    <xf numFmtId="0" fontId="8" fillId="14" borderId="5" xfId="0" applyFont="1" applyFill="1" applyBorder="1" applyAlignment="1">
      <alignment indent="2"/>
    </xf>
    <xf numFmtId="4" fontId="8" fillId="14" borderId="5" xfId="0" applyNumberFormat="1" applyFont="1" applyFill="1" applyBorder="1" applyAlignment="1">
      <alignment horizontal="right"/>
    </xf>
    <xf numFmtId="10" fontId="8" fillId="14" borderId="5" xfId="0" applyNumberFormat="1" applyFont="1" applyFill="1" applyBorder="1" applyAlignment="1">
      <alignment horizontal="right"/>
    </xf>
    <xf numFmtId="165" fontId="12" fillId="11" borderId="1" xfId="0" applyNumberFormat="1" applyFont="1" applyFill="1" applyBorder="1" applyAlignment="1">
      <alignment horizontal="right" vertical="center"/>
    </xf>
    <xf numFmtId="165" fontId="8" fillId="14" borderId="5" xfId="0" applyNumberFormat="1" applyFont="1" applyFill="1" applyBorder="1" applyAlignment="1"/>
    <xf numFmtId="165" fontId="1" fillId="20" borderId="1" xfId="4" applyNumberFormat="1" applyFont="1" applyFill="1" applyBorder="1" applyAlignment="1">
      <alignment horizontal="right"/>
    </xf>
    <xf numFmtId="10" fontId="1" fillId="20" borderId="1" xfId="4" applyNumberFormat="1" applyFont="1" applyFill="1" applyBorder="1" applyAlignment="1">
      <alignment horizontal="right"/>
    </xf>
    <xf numFmtId="165" fontId="12" fillId="11" borderId="1" xfId="0" applyNumberFormat="1" applyFont="1" applyFill="1" applyBorder="1" applyAlignment="1">
      <alignment horizontal="right"/>
    </xf>
    <xf numFmtId="165" fontId="31" fillId="21" borderId="5" xfId="0" applyNumberFormat="1" applyFont="1" applyFill="1" applyBorder="1" applyAlignment="1"/>
    <xf numFmtId="166" fontId="22" fillId="2" borderId="2" xfId="0" applyNumberFormat="1" applyFont="1" applyFill="1" applyBorder="1" applyAlignment="1">
      <alignment horizontal="center" vertical="center"/>
    </xf>
    <xf numFmtId="166" fontId="22" fillId="2" borderId="3" xfId="0" applyNumberFormat="1" applyFont="1" applyFill="1" applyBorder="1" applyAlignment="1">
      <alignment horizontal="center" vertical="center"/>
    </xf>
    <xf numFmtId="166" fontId="22" fillId="2" borderId="4"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xf>
    <xf numFmtId="14" fontId="22" fillId="2" borderId="3" xfId="0" applyNumberFormat="1" applyFont="1" applyFill="1" applyBorder="1" applyAlignment="1">
      <alignment horizontal="center" vertical="center"/>
    </xf>
    <xf numFmtId="14" fontId="22" fillId="2" borderId="4" xfId="0" applyNumberFormat="1" applyFont="1" applyFill="1" applyBorder="1" applyAlignment="1">
      <alignment horizontal="center" vertical="center"/>
    </xf>
    <xf numFmtId="0" fontId="28" fillId="0" borderId="0" xfId="0" applyFont="1" applyAlignment="1">
      <alignment horizontal="center" vertical="center" wrapText="1"/>
    </xf>
    <xf numFmtId="0" fontId="14" fillId="0" borderId="0" xfId="0" applyFont="1" applyAlignment="1">
      <alignment horizontal="center"/>
    </xf>
    <xf numFmtId="0" fontId="23" fillId="3" borderId="1" xfId="7" applyNumberFormat="1" applyFont="1" applyFill="1" applyBorder="1" applyAlignment="1">
      <alignment horizontal="left" vertical="center"/>
    </xf>
    <xf numFmtId="4" fontId="23" fillId="3" borderId="1" xfId="7" applyNumberFormat="1" applyFont="1" applyFill="1" applyBorder="1" applyAlignment="1">
      <alignment horizontal="right" vertical="center"/>
    </xf>
    <xf numFmtId="0" fontId="9" fillId="0" borderId="6" xfId="0" applyFont="1" applyBorder="1" applyAlignment="1">
      <alignment horizontal="left" vertical="top" wrapText="1"/>
    </xf>
    <xf numFmtId="0" fontId="0" fillId="0" borderId="6" xfId="0" applyBorder="1" applyAlignment="1">
      <alignment horizontal="left" vertical="top" wrapText="1"/>
    </xf>
  </cellXfs>
  <cellStyles count="10">
    <cellStyle name="20% – колірна тема 1" xfId="2" builtinId="30"/>
    <cellStyle name="20% – колірна тема 2" xfId="3" builtinId="34"/>
    <cellStyle name="40% – Акцентування1 2" xfId="5" xr:uid="{00000000-0005-0000-0000-000003000000}"/>
    <cellStyle name="40% – колірна тема 1" xfId="4" builtinId="31"/>
    <cellStyle name="40% – колірна тема 2" xfId="6" builtinId="35"/>
    <cellStyle name="Відсотковий" xfId="9" builtinId="5"/>
    <cellStyle name="Звичайний" xfId="0" builtinId="0"/>
    <cellStyle name="Колірна тема 1" xfId="7" builtinId="29"/>
    <cellStyle name="Колірна тема 2" xfId="8" builtinId="33"/>
    <cellStyle name="РівеньРядків_1" xfId="1" builtinId="1" iLevel="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15.xml"/><Relationship Id="rId21" Type="http://schemas.openxmlformats.org/officeDocument/2006/relationships/worksheet" Target="worksheets/sheet12.xml"/><Relationship Id="rId34" Type="http://schemas.openxmlformats.org/officeDocument/2006/relationships/chartsheet" Target="chartsheets/sheet13.xml"/><Relationship Id="rId42" Type="http://schemas.openxmlformats.org/officeDocument/2006/relationships/chartsheet" Target="chartsheets/sheet18.xml"/><Relationship Id="rId47" Type="http://schemas.openxmlformats.org/officeDocument/2006/relationships/worksheet" Target="worksheets/sheet26.xml"/><Relationship Id="rId50" Type="http://schemas.openxmlformats.org/officeDocument/2006/relationships/worksheet" Target="worksheets/sheet29.xml"/><Relationship Id="rId55" Type="http://schemas.openxmlformats.org/officeDocument/2006/relationships/worksheet" Target="worksheets/sheet32.xml"/><Relationship Id="rId63" Type="http://schemas.openxmlformats.org/officeDocument/2006/relationships/worksheet" Target="worksheets/sheet38.xml"/><Relationship Id="rId68" Type="http://schemas.openxmlformats.org/officeDocument/2006/relationships/calcChain" Target="calcChain.xml"/><Relationship Id="rId7" Type="http://schemas.openxmlformats.org/officeDocument/2006/relationships/worksheet" Target="worksheets/sheet3.xml"/><Relationship Id="rId2" Type="http://schemas.openxmlformats.org/officeDocument/2006/relationships/chartsheet" Target="chartsheets/sheet2.xml"/><Relationship Id="rId16" Type="http://schemas.openxmlformats.org/officeDocument/2006/relationships/chartsheet" Target="chartsheets/sheet8.xml"/><Relationship Id="rId29" Type="http://schemas.openxmlformats.org/officeDocument/2006/relationships/worksheet" Target="worksheets/sheet18.xml"/><Relationship Id="rId11" Type="http://schemas.openxmlformats.org/officeDocument/2006/relationships/chartsheet" Target="chartsheets/sheet6.xml"/><Relationship Id="rId24" Type="http://schemas.openxmlformats.org/officeDocument/2006/relationships/chartsheet" Target="chartsheets/sheet11.xml"/><Relationship Id="rId32" Type="http://schemas.openxmlformats.org/officeDocument/2006/relationships/worksheet" Target="worksheets/sheet21.xml"/><Relationship Id="rId37" Type="http://schemas.openxmlformats.org/officeDocument/2006/relationships/worksheet" Target="worksheets/sheet23.xml"/><Relationship Id="rId40" Type="http://schemas.openxmlformats.org/officeDocument/2006/relationships/chartsheet" Target="chartsheets/sheet17.xml"/><Relationship Id="rId45" Type="http://schemas.openxmlformats.org/officeDocument/2006/relationships/chartsheet" Target="chartsheets/sheet20.xml"/><Relationship Id="rId53" Type="http://schemas.openxmlformats.org/officeDocument/2006/relationships/worksheet" Target="worksheets/sheet31.xml"/><Relationship Id="rId58" Type="http://schemas.openxmlformats.org/officeDocument/2006/relationships/worksheet" Target="worksheets/sheet33.xml"/><Relationship Id="rId66" Type="http://schemas.openxmlformats.org/officeDocument/2006/relationships/styles" Target="styles.xml"/><Relationship Id="rId5" Type="http://schemas.openxmlformats.org/officeDocument/2006/relationships/worksheet" Target="worksheets/sheet1.xml"/><Relationship Id="rId61" Type="http://schemas.openxmlformats.org/officeDocument/2006/relationships/worksheet" Target="worksheets/sheet36.xml"/><Relationship Id="rId19" Type="http://schemas.openxmlformats.org/officeDocument/2006/relationships/worksheet" Target="worksheets/sheet10.xml"/><Relationship Id="rId14" Type="http://schemas.openxmlformats.org/officeDocument/2006/relationships/worksheet" Target="worksheets/sheet8.xml"/><Relationship Id="rId22" Type="http://schemas.openxmlformats.org/officeDocument/2006/relationships/worksheet" Target="worksheets/sheet13.xml"/><Relationship Id="rId27" Type="http://schemas.openxmlformats.org/officeDocument/2006/relationships/worksheet" Target="worksheets/sheet16.xml"/><Relationship Id="rId30" Type="http://schemas.openxmlformats.org/officeDocument/2006/relationships/worksheet" Target="worksheets/sheet19.xml"/><Relationship Id="rId35" Type="http://schemas.openxmlformats.org/officeDocument/2006/relationships/chartsheet" Target="chartsheets/sheet14.xml"/><Relationship Id="rId43" Type="http://schemas.openxmlformats.org/officeDocument/2006/relationships/chartsheet" Target="chartsheets/sheet19.xml"/><Relationship Id="rId48" Type="http://schemas.openxmlformats.org/officeDocument/2006/relationships/worksheet" Target="worksheets/sheet27.xml"/><Relationship Id="rId56" Type="http://schemas.openxmlformats.org/officeDocument/2006/relationships/chartsheet" Target="chartsheets/sheet24.xml"/><Relationship Id="rId64" Type="http://schemas.openxmlformats.org/officeDocument/2006/relationships/worksheet" Target="worksheets/sheet39.xml"/><Relationship Id="rId8" Type="http://schemas.openxmlformats.org/officeDocument/2006/relationships/worksheet" Target="worksheets/sheet4.xml"/><Relationship Id="rId51" Type="http://schemas.openxmlformats.org/officeDocument/2006/relationships/worksheet" Target="worksheets/sheet30.xml"/><Relationship Id="rId3" Type="http://schemas.openxmlformats.org/officeDocument/2006/relationships/chartsheet" Target="chartsheets/sheet3.xml"/><Relationship Id="rId12" Type="http://schemas.openxmlformats.org/officeDocument/2006/relationships/worksheet" Target="worksheets/sheet6.xml"/><Relationship Id="rId17" Type="http://schemas.openxmlformats.org/officeDocument/2006/relationships/chartsheet" Target="chartsheets/sheet9.xml"/><Relationship Id="rId25" Type="http://schemas.openxmlformats.org/officeDocument/2006/relationships/worksheet" Target="worksheets/sheet14.xml"/><Relationship Id="rId33" Type="http://schemas.openxmlformats.org/officeDocument/2006/relationships/chartsheet" Target="chartsheets/sheet12.xml"/><Relationship Id="rId38" Type="http://schemas.openxmlformats.org/officeDocument/2006/relationships/chartsheet" Target="chartsheets/sheet15.xml"/><Relationship Id="rId46" Type="http://schemas.openxmlformats.org/officeDocument/2006/relationships/chartsheet" Target="chartsheets/sheet21.xml"/><Relationship Id="rId59" Type="http://schemas.openxmlformats.org/officeDocument/2006/relationships/worksheet" Target="worksheets/sheet34.xml"/><Relationship Id="rId67" Type="http://schemas.openxmlformats.org/officeDocument/2006/relationships/sharedStrings" Target="sharedStrings.xml"/><Relationship Id="rId20" Type="http://schemas.openxmlformats.org/officeDocument/2006/relationships/worksheet" Target="worksheets/sheet11.xml"/><Relationship Id="rId41" Type="http://schemas.openxmlformats.org/officeDocument/2006/relationships/worksheet" Target="worksheets/sheet24.xml"/><Relationship Id="rId54" Type="http://schemas.openxmlformats.org/officeDocument/2006/relationships/chartsheet" Target="chartsheets/sheet23.xml"/><Relationship Id="rId62" Type="http://schemas.openxmlformats.org/officeDocument/2006/relationships/worksheet" Target="worksheets/sheet37.xml"/><Relationship Id="rId1" Type="http://schemas.openxmlformats.org/officeDocument/2006/relationships/chartsheet" Target="chartsheets/sheet1.xml"/><Relationship Id="rId6" Type="http://schemas.openxmlformats.org/officeDocument/2006/relationships/worksheet" Target="worksheets/sheet2.xml"/><Relationship Id="rId15" Type="http://schemas.openxmlformats.org/officeDocument/2006/relationships/chartsheet" Target="chartsheets/sheet7.xml"/><Relationship Id="rId23" Type="http://schemas.openxmlformats.org/officeDocument/2006/relationships/chartsheet" Target="chartsheets/sheet10.xml"/><Relationship Id="rId28" Type="http://schemas.openxmlformats.org/officeDocument/2006/relationships/worksheet" Target="worksheets/sheet17.xml"/><Relationship Id="rId36" Type="http://schemas.openxmlformats.org/officeDocument/2006/relationships/worksheet" Target="worksheets/sheet22.xml"/><Relationship Id="rId49" Type="http://schemas.openxmlformats.org/officeDocument/2006/relationships/worksheet" Target="worksheets/sheet28.xml"/><Relationship Id="rId57" Type="http://schemas.openxmlformats.org/officeDocument/2006/relationships/chartsheet" Target="chartsheets/sheet25.xml"/><Relationship Id="rId10" Type="http://schemas.openxmlformats.org/officeDocument/2006/relationships/chartsheet" Target="chartsheets/sheet5.xml"/><Relationship Id="rId31" Type="http://schemas.openxmlformats.org/officeDocument/2006/relationships/worksheet" Target="worksheets/sheet20.xml"/><Relationship Id="rId44" Type="http://schemas.openxmlformats.org/officeDocument/2006/relationships/worksheet" Target="worksheets/sheet25.xml"/><Relationship Id="rId52" Type="http://schemas.openxmlformats.org/officeDocument/2006/relationships/chartsheet" Target="chartsheets/sheet22.xml"/><Relationship Id="rId60" Type="http://schemas.openxmlformats.org/officeDocument/2006/relationships/worksheet" Target="worksheets/sheet35.xml"/><Relationship Id="rId65" Type="http://schemas.openxmlformats.org/officeDocument/2006/relationships/theme" Target="theme/theme1.xml"/><Relationship Id="rId4" Type="http://schemas.openxmlformats.org/officeDocument/2006/relationships/chartsheet" Target="chartsheets/sheet4.xml"/><Relationship Id="rId9" Type="http://schemas.openxmlformats.org/officeDocument/2006/relationships/worksheet" Target="worksheets/sheet5.xml"/><Relationship Id="rId13" Type="http://schemas.openxmlformats.org/officeDocument/2006/relationships/worksheet" Target="worksheets/sheet7.xml"/><Relationship Id="rId18" Type="http://schemas.openxmlformats.org/officeDocument/2006/relationships/worksheet" Target="worksheets/sheet9.xml"/><Relationship Id="rId39" Type="http://schemas.openxmlformats.org/officeDocument/2006/relationships/chartsheet" Target="chartsheets/sheet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MK_ALL!$A$4</c:f>
          <c:strCache>
            <c:ptCount val="1"/>
            <c:pt idx="0">
              <c:v>Державний та гарантований державою борг України за поточний рік (млрд. грн)</c:v>
            </c:pt>
          </c:strCache>
        </c:strRef>
      </c:tx>
      <c:layout>
        <c:manualLayout>
          <c:xMode val="edge"/>
          <c:yMode val="edge"/>
          <c:x val="0.21280991892559448"/>
          <c:y val="2.03045685279187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8"/>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3.5123966942148761E-2"/>
          <c:y val="0.13367174280879865"/>
          <c:w val="0.86157024793388426"/>
          <c:h val="0.80033840947546531"/>
        </c:manualLayout>
      </c:layout>
      <c:bar3DChart>
        <c:barDir val="col"/>
        <c:grouping val="stacked"/>
        <c:varyColors val="0"/>
        <c:ser>
          <c:idx val="1"/>
          <c:order val="0"/>
          <c:tx>
            <c:strRef>
              <c:f>MK_ALL!$A$7</c:f>
              <c:strCache>
                <c:ptCount val="1"/>
                <c:pt idx="0">
                  <c:v>Державний борг</c:v>
                </c:pt>
              </c:strCache>
            </c:strRef>
          </c:tx>
          <c:invertIfNegative val="0"/>
          <c:cat>
            <c:numRef>
              <c:f>MK_ALL!$B$5:$J$5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MK_ALL!$B$7:$J$7</c:f>
              <c:numCache>
                <c:formatCode>#,##0.00</c:formatCode>
                <c:ptCount val="9"/>
                <c:pt idx="0">
                  <c:v>8765.9940256002701</c:v>
                </c:pt>
                <c:pt idx="1">
                  <c:v>8933.75862935849</c:v>
                </c:pt>
                <c:pt idx="2">
                  <c:v>8940.6425883804604</c:v>
                </c:pt>
                <c:pt idx="3">
                  <c:v>8973.06636181258</c:v>
                </c:pt>
                <c:pt idx="4">
                  <c:v>9086.1497696725692</c:v>
                </c:pt>
                <c:pt idx="5">
                  <c:v>9055.8212127435108</c:v>
                </c:pt>
                <c:pt idx="6">
                  <c:v>9228.7924833453999</c:v>
                </c:pt>
                <c:pt idx="7">
                  <c:v>9311.4910199911392</c:v>
                </c:pt>
                <c:pt idx="8">
                  <c:v>9345.0806751427208</c:v>
                </c:pt>
              </c:numCache>
            </c:numRef>
          </c:val>
          <c:extLst>
            <c:ext xmlns:c16="http://schemas.microsoft.com/office/drawing/2014/chart" uri="{C3380CC4-5D6E-409C-BE32-E72D297353CC}">
              <c16:uniqueId val="{00000000-0E79-42CC-BC9C-09E22BA5D51C}"/>
            </c:ext>
          </c:extLst>
        </c:ser>
        <c:ser>
          <c:idx val="2"/>
          <c:order val="1"/>
          <c:tx>
            <c:strRef>
              <c:f>MK_ALL!$A$8</c:f>
              <c:strCache>
                <c:ptCount val="1"/>
                <c:pt idx="0">
                  <c:v>Гарантований державою борг</c:v>
                </c:pt>
              </c:strCache>
            </c:strRef>
          </c:tx>
          <c:invertIfNegative val="0"/>
          <c:cat>
            <c:numRef>
              <c:f>MK_ALL!$B$5:$J$5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MK_ALL!$B$8:$J$8</c:f>
              <c:numCache>
                <c:formatCode>#,##0.00</c:formatCode>
                <c:ptCount val="9"/>
                <c:pt idx="0">
                  <c:v>276.68300234511997</c:v>
                </c:pt>
                <c:pt idx="1">
                  <c:v>278.84119521539998</c:v>
                </c:pt>
                <c:pt idx="2">
                  <c:v>270.55078135447002</c:v>
                </c:pt>
                <c:pt idx="3">
                  <c:v>259.96150506507001</c:v>
                </c:pt>
                <c:pt idx="4">
                  <c:v>259.36070022438997</c:v>
                </c:pt>
                <c:pt idx="5">
                  <c:v>261.05182297000999</c:v>
                </c:pt>
                <c:pt idx="6">
                  <c:v>262.08278684142999</c:v>
                </c:pt>
                <c:pt idx="7">
                  <c:v>260.95876137389001</c:v>
                </c:pt>
                <c:pt idx="8">
                  <c:v>257.81238855825001</c:v>
                </c:pt>
              </c:numCache>
            </c:numRef>
          </c:val>
          <c:extLst>
            <c:ext xmlns:c16="http://schemas.microsoft.com/office/drawing/2014/chart" uri="{C3380CC4-5D6E-409C-BE32-E72D297353CC}">
              <c16:uniqueId val="{00000001-0E79-42CC-BC9C-09E22BA5D51C}"/>
            </c:ext>
          </c:extLst>
        </c:ser>
        <c:dLbls>
          <c:showLegendKey val="0"/>
          <c:showVal val="0"/>
          <c:showCatName val="0"/>
          <c:showSerName val="0"/>
          <c:showPercent val="0"/>
          <c:showBubbleSize val="0"/>
        </c:dLbls>
        <c:gapWidth val="150"/>
        <c:shape val="box"/>
        <c:axId val="101257984"/>
        <c:axId val="101259520"/>
        <c:axId val="0"/>
      </c:bar3DChart>
      <c:dateAx>
        <c:axId val="101257984"/>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1259520"/>
        <c:crosses val="autoZero"/>
        <c:auto val="1"/>
        <c:lblOffset val="100"/>
        <c:baseTimeUnit val="months"/>
        <c:majorUnit val="1"/>
        <c:majorTimeUnit val="months"/>
        <c:minorUnit val="1"/>
        <c:minorTimeUnit val="days"/>
      </c:dateAx>
      <c:valAx>
        <c:axId val="101259520"/>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1257984"/>
        <c:crosses val="autoZero"/>
        <c:crossBetween val="between"/>
      </c:valAx>
      <c:spPr>
        <a:noFill/>
        <a:ln w="25400">
          <a:noFill/>
        </a:ln>
      </c:spPr>
    </c:plotArea>
    <c:legend>
      <c:legendPos val="r"/>
      <c:layout>
        <c:manualLayout>
          <c:xMode val="edge"/>
          <c:yMode val="edge"/>
          <c:x val="0.90805787849424713"/>
          <c:y val="0.51030352397172929"/>
          <c:w val="9.1942121505752872E-2"/>
          <c:h val="0.1419588773973786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MK_ALL!$A$10</c:f>
          <c:strCache>
            <c:ptCount val="1"/>
            <c:pt idx="0">
              <c:v>Державний та гарантований державою борг України за поточний рік (млрд. дол. США)</c:v>
            </c:pt>
          </c:strCache>
        </c:strRef>
      </c:tx>
      <c:layout>
        <c:manualLayout>
          <c:xMode val="edge"/>
          <c:yMode val="edge"/>
          <c:x val="0.21280991892559448"/>
          <c:y val="2.03045685279187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0"/>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3.5123966942148761E-2"/>
          <c:y val="0.10490693739424704"/>
          <c:w val="0.86157024793388426"/>
          <c:h val="0.82910321489001693"/>
        </c:manualLayout>
      </c:layout>
      <c:bar3DChart>
        <c:barDir val="col"/>
        <c:grouping val="stacked"/>
        <c:varyColors val="0"/>
        <c:ser>
          <c:idx val="1"/>
          <c:order val="0"/>
          <c:tx>
            <c:strRef>
              <c:f>MK_ALL!$A$13</c:f>
              <c:strCache>
                <c:ptCount val="1"/>
                <c:pt idx="0">
                  <c:v>Державний борг</c:v>
                </c:pt>
              </c:strCache>
            </c:strRef>
          </c:tx>
          <c:spPr>
            <a:solidFill>
              <a:srgbClr val="993366"/>
            </a:solidFill>
            <a:ln w="12700">
              <a:solidFill>
                <a:srgbClr val="000000"/>
              </a:solidFill>
              <a:prstDash val="solid"/>
            </a:ln>
          </c:spPr>
          <c:invertIfNegative val="0"/>
          <c:cat>
            <c:numRef>
              <c:f>MK_ALL!$B$11:$J$11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MK_ALL!$B$13:$J$13</c:f>
              <c:numCache>
                <c:formatCode>#,##0.00</c:formatCode>
                <c:ptCount val="9"/>
                <c:pt idx="0">
                  <c:v>206.80464722402999</c:v>
                </c:pt>
                <c:pt idx="1">
                  <c:v>208.49738797955001</c:v>
                </c:pt>
                <c:pt idx="2">
                  <c:v>206.92052157763001</c:v>
                </c:pt>
                <c:pt idx="3">
                  <c:v>204.88557869716001</c:v>
                </c:pt>
                <c:pt idx="4">
                  <c:v>206.11927248486001</c:v>
                </c:pt>
                <c:pt idx="5">
                  <c:v>204.58059050159</c:v>
                </c:pt>
                <c:pt idx="6">
                  <c:v>205.78027201629999</c:v>
                </c:pt>
                <c:pt idx="7">
                  <c:v>208.34991407749999</c:v>
                </c:pt>
                <c:pt idx="8">
                  <c:v>209.76376640346999</c:v>
                </c:pt>
              </c:numCache>
            </c:numRef>
          </c:val>
          <c:extLst>
            <c:ext xmlns:c16="http://schemas.microsoft.com/office/drawing/2014/chart" uri="{C3380CC4-5D6E-409C-BE32-E72D297353CC}">
              <c16:uniqueId val="{00000000-7139-466C-840E-00A385220B14}"/>
            </c:ext>
          </c:extLst>
        </c:ser>
        <c:ser>
          <c:idx val="2"/>
          <c:order val="1"/>
          <c:tx>
            <c:strRef>
              <c:f>MK_ALL!$A$14</c:f>
              <c:strCache>
                <c:ptCount val="1"/>
                <c:pt idx="0">
                  <c:v>Гарантований державою борг</c:v>
                </c:pt>
              </c:strCache>
            </c:strRef>
          </c:tx>
          <c:invertIfNegative val="0"/>
          <c:cat>
            <c:numRef>
              <c:f>MK_ALL!$B$11:$J$11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MK_ALL!$B$14:$J$14</c:f>
              <c:numCache>
                <c:formatCode>#,##0.00</c:formatCode>
                <c:ptCount val="9"/>
                <c:pt idx="0">
                  <c:v>6.5274206810599997</c:v>
                </c:pt>
                <c:pt idx="1">
                  <c:v>6.5076372975099996</c:v>
                </c:pt>
                <c:pt idx="2">
                  <c:v>6.2615755230400003</c:v>
                </c:pt>
                <c:pt idx="3">
                  <c:v>5.9358040224200002</c:v>
                </c:pt>
                <c:pt idx="4">
                  <c:v>5.8835964844199999</c:v>
                </c:pt>
                <c:pt idx="5">
                  <c:v>5.8974371114800004</c:v>
                </c:pt>
                <c:pt idx="6">
                  <c:v>5.8438270515199999</c:v>
                </c:pt>
                <c:pt idx="7">
                  <c:v>5.8391008909400002</c:v>
                </c:pt>
                <c:pt idx="8">
                  <c:v>5.7869695863799997</c:v>
                </c:pt>
              </c:numCache>
            </c:numRef>
          </c:val>
          <c:extLst>
            <c:ext xmlns:c16="http://schemas.microsoft.com/office/drawing/2014/chart" uri="{C3380CC4-5D6E-409C-BE32-E72D297353CC}">
              <c16:uniqueId val="{00000001-7139-466C-840E-00A385220B14}"/>
            </c:ext>
          </c:extLst>
        </c:ser>
        <c:dLbls>
          <c:showLegendKey val="0"/>
          <c:showVal val="0"/>
          <c:showCatName val="0"/>
          <c:showSerName val="0"/>
          <c:showPercent val="0"/>
          <c:showBubbleSize val="0"/>
        </c:dLbls>
        <c:gapWidth val="150"/>
        <c:shape val="box"/>
        <c:axId val="101310848"/>
        <c:axId val="101312384"/>
        <c:axId val="0"/>
      </c:bar3DChart>
      <c:dateAx>
        <c:axId val="101310848"/>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1312384"/>
        <c:crosses val="autoZero"/>
        <c:auto val="1"/>
        <c:lblOffset val="100"/>
        <c:baseTimeUnit val="months"/>
        <c:majorUnit val="1"/>
        <c:majorTimeUnit val="months"/>
        <c:minorUnit val="1"/>
        <c:minorTimeUnit val="days"/>
      </c:dateAx>
      <c:valAx>
        <c:axId val="101312384"/>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1310848"/>
        <c:crosses val="autoZero"/>
        <c:crossBetween val="between"/>
      </c:valAx>
      <c:spPr>
        <a:noFill/>
        <a:ln w="25400">
          <a:noFill/>
        </a:ln>
      </c:spPr>
    </c:plotArea>
    <c:legend>
      <c:legendPos val="tr"/>
      <c:layout>
        <c:manualLayout>
          <c:xMode val="edge"/>
          <c:yMode val="edge"/>
          <c:x val="0.90805793083438779"/>
          <c:y val="0.45421124083627479"/>
          <c:w val="9.1942121505752872E-2"/>
          <c:h val="0.12523996412674121"/>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[0]!DEBT_STATE</c:f>
          <c:strCache>
            <c:ptCount val="1"/>
            <c:pt idx="0">
              <c:v>Державний та гарантований державою борг України</c:v>
            </c:pt>
          </c:strCache>
        </c:strRef>
      </c:tx>
      <c:layout>
        <c:manualLayout>
          <c:xMode val="edge"/>
          <c:yMode val="edge"/>
          <c:x val="0.30403286074086283"/>
          <c:y val="0.1130627150145247"/>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4581178903826267"/>
          <c:y val="0.3135593220338983"/>
          <c:w val="0.70837642192347461"/>
          <c:h val="0.4610169491525423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3748-49C1-9F40-0C364D25E88B}"/>
              </c:ext>
            </c:extLst>
          </c:dPt>
          <c:dPt>
            <c:idx val="1"/>
            <c:bubble3D val="0"/>
            <c:extLst>
              <c:ext xmlns:c16="http://schemas.microsoft.com/office/drawing/2014/chart" uri="{C3380CC4-5D6E-409C-BE32-E72D297353CC}">
                <c16:uniqueId val="{00000001-3748-49C1-9F40-0C364D25E88B}"/>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1"/>
            <c:extLst>
              <c:ext xmlns:c15="http://schemas.microsoft.com/office/drawing/2012/chart" uri="{CE6537A1-D6FC-4f65-9D91-7224C49458BB}"/>
            </c:extLst>
          </c:dLbls>
          <c:cat>
            <c:strRef>
              <c:f>MK_ALL!$A$19:$A$20</c:f>
              <c:strCache>
                <c:ptCount val="2"/>
                <c:pt idx="0">
                  <c:v>Державний борг</c:v>
                </c:pt>
                <c:pt idx="1">
                  <c:v>Гарантований державою борг</c:v>
                </c:pt>
              </c:strCache>
            </c:strRef>
          </c:cat>
          <c:val>
            <c:numRef>
              <c:f>MK_ALL!$J$19:$J$20</c:f>
              <c:numCache>
                <c:formatCode>0.00%</c:formatCode>
                <c:ptCount val="2"/>
                <c:pt idx="0">
                  <c:v>0.97315300000000005</c:v>
                </c:pt>
                <c:pt idx="1">
                  <c:v>2.6846999999999999E-2</c:v>
                </c:pt>
              </c:numCache>
            </c:numRef>
          </c:val>
          <c:extLst>
            <c:ext xmlns:c16="http://schemas.microsoft.com/office/drawing/2014/chart" uri="{C3380CC4-5D6E-409C-BE32-E72D297353CC}">
              <c16:uniqueId val="{00000002-3748-49C1-9F40-0C364D25E88B}"/>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Державний та гарантований державою борг України
станом на 31.08.2026</c:v>
            </c:pt>
          </c:strCache>
        </c:strRef>
      </c:tx>
      <c:layout>
        <c:manualLayout>
          <c:xMode val="edge"/>
          <c:yMode val="edge"/>
          <c:x val="0.30341530319374554"/>
          <c:y val="0.17105837586884554"/>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4566115702479338"/>
          <c:y val="0.31302876480541453"/>
          <c:w val="0.70867768595041325"/>
          <c:h val="0.4619289340101522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93C6-459A-B698-80BF75843F81}"/>
              </c:ext>
            </c:extLst>
          </c:dPt>
          <c:dPt>
            <c:idx val="1"/>
            <c:bubble3D val="0"/>
            <c:extLst>
              <c:ext xmlns:c16="http://schemas.microsoft.com/office/drawing/2014/chart" uri="{C3380CC4-5D6E-409C-BE32-E72D297353CC}">
                <c16:uniqueId val="{00000001-93C6-459A-B698-80BF75843F81}"/>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1"/>
            <c:extLst>
              <c:ext xmlns:c15="http://schemas.microsoft.com/office/drawing/2012/chart" uri="{CE6537A1-D6FC-4f65-9D91-7224C49458BB}"/>
            </c:extLst>
          </c:dLbls>
          <c:cat>
            <c:strRef>
              <c:f>MT_ALL!$A$19:$A$20</c:f>
              <c:strCache>
                <c:ptCount val="2"/>
                <c:pt idx="0">
                  <c:v>Внутрішній борг</c:v>
                </c:pt>
                <c:pt idx="1">
                  <c:v>Зовнішній борг</c:v>
                </c:pt>
              </c:strCache>
            </c:strRef>
          </c:cat>
          <c:val>
            <c:numRef>
              <c:f>MT_ALL!$J$19:$J$20</c:f>
              <c:numCache>
                <c:formatCode>0.00%</c:formatCode>
                <c:ptCount val="2"/>
                <c:pt idx="0">
                  <c:v>0.215058</c:v>
                </c:pt>
                <c:pt idx="1">
                  <c:v>0.78494200000000003</c:v>
                </c:pt>
              </c:numCache>
            </c:numRef>
          </c:val>
          <c:extLst>
            <c:ext xmlns:c16="http://schemas.microsoft.com/office/drawing/2014/chart" uri="{C3380CC4-5D6E-409C-BE32-E72D297353CC}">
              <c16:uniqueId val="{00000002-93C6-459A-B698-80BF75843F8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MT_ALL!$A$4</c:f>
          <c:strCache>
            <c:ptCount val="1"/>
            <c:pt idx="0">
              <c:v>Державний та гарантований державою борг України за поточний рік (млрд. грн)</c:v>
            </c:pt>
          </c:strCache>
        </c:strRef>
      </c:tx>
      <c:layout>
        <c:manualLayout>
          <c:xMode val="edge"/>
          <c:yMode val="edge"/>
          <c:x val="0.21280996085047721"/>
          <c:y val="2.0304580237329489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FFFFFF"/>
        </a:solidFill>
        <a:ln w="12700">
          <a:solidFill>
            <a:srgbClr val="808080"/>
          </a:solidFill>
          <a:prstDash val="solid"/>
        </a:ln>
      </c:spPr>
    </c:sideWall>
    <c:backWall>
      <c:thickness val="0"/>
      <c:spPr>
        <a:solidFill>
          <a:srgbClr val="FFFFFF"/>
        </a:solidFill>
        <a:ln w="12700">
          <a:solidFill>
            <a:srgbClr val="808080"/>
          </a:solidFill>
          <a:prstDash val="solid"/>
        </a:ln>
      </c:spPr>
    </c:backWall>
    <c:plotArea>
      <c:layout>
        <c:manualLayout>
          <c:layoutTarget val="inner"/>
          <c:xMode val="edge"/>
          <c:yMode val="edge"/>
          <c:x val="6.6115702479338845E-2"/>
          <c:y val="0.10490693739424704"/>
          <c:w val="0.93078512396694213"/>
          <c:h val="0.79187817258883253"/>
        </c:manualLayout>
      </c:layout>
      <c:bar3DChart>
        <c:barDir val="col"/>
        <c:grouping val="stacked"/>
        <c:varyColors val="0"/>
        <c:ser>
          <c:idx val="0"/>
          <c:order val="0"/>
          <c:tx>
            <c:strRef>
              <c:f>MT_ALL!$A$7</c:f>
              <c:strCache>
                <c:ptCount val="1"/>
                <c:pt idx="0">
                  <c:v>Внутрішній борг</c:v>
                </c:pt>
              </c:strCache>
            </c:strRef>
          </c:tx>
          <c:spPr>
            <a:solidFill>
              <a:srgbClr val="9999FF"/>
            </a:solidFill>
            <a:ln w="12700">
              <a:solidFill>
                <a:srgbClr val="000000"/>
              </a:solidFill>
              <a:prstDash val="solid"/>
            </a:ln>
          </c:spPr>
          <c:invertIfNegative val="0"/>
          <c:cat>
            <c:numRef>
              <c:f>MT_ALL!$B$5:$J$5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MT_ALL!$B$7:$J$7</c:f>
              <c:numCache>
                <c:formatCode>#,##0.00</c:formatCode>
                <c:ptCount val="9"/>
                <c:pt idx="0">
                  <c:v>2031.50200194128</c:v>
                </c:pt>
                <c:pt idx="1">
                  <c:v>2055.3735050478699</c:v>
                </c:pt>
                <c:pt idx="2">
                  <c:v>2072.3017816432898</c:v>
                </c:pt>
                <c:pt idx="3">
                  <c:v>2077.05970968987</c:v>
                </c:pt>
                <c:pt idx="4">
                  <c:v>2068.3418798098</c:v>
                </c:pt>
                <c:pt idx="5">
                  <c:v>2053.6187634325402</c:v>
                </c:pt>
                <c:pt idx="6">
                  <c:v>2044.2039153139599</c:v>
                </c:pt>
                <c:pt idx="7">
                  <c:v>2074.68094890983</c:v>
                </c:pt>
                <c:pt idx="8">
                  <c:v>2065.1785177859101</c:v>
                </c:pt>
              </c:numCache>
            </c:numRef>
          </c:val>
          <c:extLst>
            <c:ext xmlns:c16="http://schemas.microsoft.com/office/drawing/2014/chart" uri="{C3380CC4-5D6E-409C-BE32-E72D297353CC}">
              <c16:uniqueId val="{00000000-BC45-4451-9AC6-E3AE4EC9B960}"/>
            </c:ext>
          </c:extLst>
        </c:ser>
        <c:ser>
          <c:idx val="1"/>
          <c:order val="1"/>
          <c:tx>
            <c:strRef>
              <c:f>MT_ALL!$A$8</c:f>
              <c:strCache>
                <c:ptCount val="1"/>
                <c:pt idx="0">
                  <c:v>Зовнішній борг</c:v>
                </c:pt>
              </c:strCache>
            </c:strRef>
          </c:tx>
          <c:spPr>
            <a:solidFill>
              <a:srgbClr val="993366"/>
            </a:solidFill>
            <a:ln w="12700">
              <a:solidFill>
                <a:srgbClr val="000000"/>
              </a:solidFill>
              <a:prstDash val="solid"/>
            </a:ln>
          </c:spPr>
          <c:invertIfNegative val="0"/>
          <c:cat>
            <c:numRef>
              <c:f>MT_ALL!$B$5:$J$5</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MT_ALL!$B$8:$J$8</c:f>
              <c:numCache>
                <c:formatCode>#,##0.00</c:formatCode>
                <c:ptCount val="9"/>
                <c:pt idx="0">
                  <c:v>7011.1750260041099</c:v>
                </c:pt>
                <c:pt idx="1">
                  <c:v>7157.2263195260202</c:v>
                </c:pt>
                <c:pt idx="2">
                  <c:v>7138.8915880916402</c:v>
                </c:pt>
                <c:pt idx="3">
                  <c:v>7155.96815718778</c:v>
                </c:pt>
                <c:pt idx="4">
                  <c:v>7277.1685900871598</c:v>
                </c:pt>
                <c:pt idx="5">
                  <c:v>7263.2542722809803</c:v>
                </c:pt>
                <c:pt idx="6">
                  <c:v>7446.6713548728703</c:v>
                </c:pt>
                <c:pt idx="7">
                  <c:v>7497.7688324552</c:v>
                </c:pt>
                <c:pt idx="8">
                  <c:v>7537.7145459150597</c:v>
                </c:pt>
              </c:numCache>
            </c:numRef>
          </c:val>
          <c:extLst>
            <c:ext xmlns:c16="http://schemas.microsoft.com/office/drawing/2014/chart" uri="{C3380CC4-5D6E-409C-BE32-E72D297353CC}">
              <c16:uniqueId val="{00000001-BC45-4451-9AC6-E3AE4EC9B960}"/>
            </c:ext>
          </c:extLst>
        </c:ser>
        <c:dLbls>
          <c:showLegendKey val="0"/>
          <c:showVal val="0"/>
          <c:showCatName val="0"/>
          <c:showSerName val="0"/>
          <c:showPercent val="0"/>
          <c:showBubbleSize val="0"/>
        </c:dLbls>
        <c:gapWidth val="150"/>
        <c:shape val="box"/>
        <c:axId val="107513344"/>
        <c:axId val="107514880"/>
        <c:axId val="0"/>
      </c:bar3DChart>
      <c:catAx>
        <c:axId val="107513344"/>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00" b="0" i="0" u="none" strike="noStrike" baseline="0">
                <a:solidFill>
                  <a:srgbClr val="000000"/>
                </a:solidFill>
                <a:latin typeface="Arial Cyr"/>
                <a:ea typeface="Arial Cyr"/>
                <a:cs typeface="Arial Cyr"/>
              </a:defRPr>
            </a:pPr>
            <a:endParaRPr lang="uk-UA"/>
          </a:p>
        </c:txPr>
        <c:crossAx val="107514880"/>
        <c:crosses val="autoZero"/>
        <c:auto val="0"/>
        <c:lblAlgn val="ctr"/>
        <c:lblOffset val="100"/>
        <c:tickLblSkip val="1"/>
        <c:tickMarkSkip val="1"/>
        <c:noMultiLvlLbl val="0"/>
      </c:catAx>
      <c:valAx>
        <c:axId val="107514880"/>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7513344"/>
        <c:crosses val="autoZero"/>
        <c:crossBetween val="between"/>
      </c:valAx>
      <c:spPr>
        <a:noFill/>
        <a:ln w="25400">
          <a:noFill/>
        </a:ln>
      </c:spPr>
    </c:plotArea>
    <c:legend>
      <c:legendPos val="r"/>
      <c:layout>
        <c:manualLayout>
          <c:xMode val="edge"/>
          <c:yMode val="edge"/>
          <c:x val="0.78202479361263133"/>
          <c:y val="8.7986514361761123E-2"/>
          <c:w val="0.11983478159149896"/>
          <c:h val="7.2758034823111897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MT_ALL!$A$10</c:f>
          <c:strCache>
            <c:ptCount val="1"/>
            <c:pt idx="0">
              <c:v>Державний та гарантований державою борг України за поточний рік (млрд. дол. США)</c:v>
            </c:pt>
          </c:strCache>
        </c:strRef>
      </c:tx>
      <c:layout>
        <c:manualLayout>
          <c:xMode val="edge"/>
          <c:yMode val="edge"/>
          <c:x val="0.21280996085047721"/>
          <c:y val="2.0304580237329489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solidFill>
          <a:srgbClr val="FFFFFF"/>
        </a:solidFill>
        <a:ln w="3175">
          <a:solidFill>
            <a:srgbClr val="000000"/>
          </a:solidFill>
          <a:prstDash val="solid"/>
        </a:ln>
      </c:spPr>
    </c:sideWall>
    <c:backWall>
      <c:thickness val="0"/>
      <c:spPr>
        <a:solidFill>
          <a:srgbClr val="FFFFFF"/>
        </a:solidFill>
        <a:ln w="3175">
          <a:solidFill>
            <a:srgbClr val="000000"/>
          </a:solidFill>
          <a:prstDash val="solid"/>
        </a:ln>
      </c:spPr>
    </c:backWall>
    <c:plotArea>
      <c:layout>
        <c:manualLayout>
          <c:layoutTarget val="inner"/>
          <c:xMode val="edge"/>
          <c:yMode val="edge"/>
          <c:x val="7.3347107438016534E-2"/>
          <c:y val="0.10490693739424704"/>
          <c:w val="0.92665289256198347"/>
          <c:h val="0.78680203045685282"/>
        </c:manualLayout>
      </c:layout>
      <c:bar3DChart>
        <c:barDir val="col"/>
        <c:grouping val="stacked"/>
        <c:varyColors val="0"/>
        <c:ser>
          <c:idx val="1"/>
          <c:order val="0"/>
          <c:tx>
            <c:strRef>
              <c:f>MT_ALL!$A$13</c:f>
              <c:strCache>
                <c:ptCount val="1"/>
                <c:pt idx="0">
                  <c:v>Внутрішній борг</c:v>
                </c:pt>
              </c:strCache>
            </c:strRef>
          </c:tx>
          <c:spPr>
            <a:solidFill>
              <a:srgbClr val="9999FF"/>
            </a:solidFill>
            <a:ln w="12700">
              <a:solidFill>
                <a:srgbClr val="000000"/>
              </a:solidFill>
              <a:prstDash val="solid"/>
            </a:ln>
          </c:spPr>
          <c:invertIfNegative val="0"/>
          <c:cat>
            <c:numRef>
              <c:f>MT_ALL!$B$11:$J$11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MT_ALL!$B$13:$J$13</c:f>
              <c:numCache>
                <c:formatCode>#,##0.00</c:formatCode>
                <c:ptCount val="9"/>
                <c:pt idx="0">
                  <c:v>47.926573257919998</c:v>
                </c:pt>
                <c:pt idx="1">
                  <c:v>47.968612641649997</c:v>
                </c:pt>
                <c:pt idx="2">
                  <c:v>47.960955969920001</c:v>
                </c:pt>
                <c:pt idx="3">
                  <c:v>47.426327127409998</c:v>
                </c:pt>
                <c:pt idx="4">
                  <c:v>46.920327567130002</c:v>
                </c:pt>
                <c:pt idx="5">
                  <c:v>46.393422464579999</c:v>
                </c:pt>
                <c:pt idx="6">
                  <c:v>45.580918468759997</c:v>
                </c:pt>
                <c:pt idx="7">
                  <c:v>46.422167675940003</c:v>
                </c:pt>
                <c:pt idx="8">
                  <c:v>46.355899884369997</c:v>
                </c:pt>
              </c:numCache>
            </c:numRef>
          </c:val>
          <c:extLst>
            <c:ext xmlns:c16="http://schemas.microsoft.com/office/drawing/2014/chart" uri="{C3380CC4-5D6E-409C-BE32-E72D297353CC}">
              <c16:uniqueId val="{00000000-B19A-4077-974A-835203684B2F}"/>
            </c:ext>
          </c:extLst>
        </c:ser>
        <c:ser>
          <c:idx val="2"/>
          <c:order val="1"/>
          <c:tx>
            <c:strRef>
              <c:f>MT_ALL!$A$14</c:f>
              <c:strCache>
                <c:ptCount val="1"/>
                <c:pt idx="0">
                  <c:v>Зовнішній борг</c:v>
                </c:pt>
              </c:strCache>
            </c:strRef>
          </c:tx>
          <c:spPr>
            <a:solidFill>
              <a:srgbClr val="993366"/>
            </a:solidFill>
            <a:ln w="12700">
              <a:solidFill>
                <a:srgbClr val="000000"/>
              </a:solidFill>
              <a:prstDash val="solid"/>
            </a:ln>
          </c:spPr>
          <c:invertIfNegative val="0"/>
          <c:cat>
            <c:numRef>
              <c:f>MT_ALL!$B$11:$J$11</c:f>
              <c:numCache>
                <c:formatCode>dd\.mm\.yyyy;@</c:formatCode>
                <c:ptCount val="9"/>
                <c:pt idx="0">
                  <c:v>46022</c:v>
                </c:pt>
                <c:pt idx="1">
                  <c:v>46053</c:v>
                </c:pt>
                <c:pt idx="2">
                  <c:v>46081</c:v>
                </c:pt>
                <c:pt idx="3">
                  <c:v>46112</c:v>
                </c:pt>
                <c:pt idx="4">
                  <c:v>46142</c:v>
                </c:pt>
                <c:pt idx="5">
                  <c:v>46173</c:v>
                </c:pt>
                <c:pt idx="6">
                  <c:v>46203</c:v>
                </c:pt>
                <c:pt idx="7">
                  <c:v>46234</c:v>
                </c:pt>
                <c:pt idx="8">
                  <c:v>46265</c:v>
                </c:pt>
              </c:numCache>
            </c:numRef>
          </c:cat>
          <c:val>
            <c:numRef>
              <c:f>MT_ALL!$B$14:$J$14</c:f>
              <c:numCache>
                <c:formatCode>#,##0.00</c:formatCode>
                <c:ptCount val="9"/>
                <c:pt idx="0">
                  <c:v>165.40549464717</c:v>
                </c:pt>
                <c:pt idx="1">
                  <c:v>167.03641263540999</c:v>
                </c:pt>
                <c:pt idx="2">
                  <c:v>165.22114113075</c:v>
                </c:pt>
                <c:pt idx="3">
                  <c:v>163.39505559217</c:v>
                </c:pt>
                <c:pt idx="4">
                  <c:v>165.08254140215001</c:v>
                </c:pt>
                <c:pt idx="5">
                  <c:v>164.08460514849</c:v>
                </c:pt>
                <c:pt idx="6">
                  <c:v>166.04318059906001</c:v>
                </c:pt>
                <c:pt idx="7">
                  <c:v>167.76684729249999</c:v>
                </c:pt>
                <c:pt idx="8">
                  <c:v>169.19483610547999</c:v>
                </c:pt>
              </c:numCache>
            </c:numRef>
          </c:val>
          <c:extLst>
            <c:ext xmlns:c16="http://schemas.microsoft.com/office/drawing/2014/chart" uri="{C3380CC4-5D6E-409C-BE32-E72D297353CC}">
              <c16:uniqueId val="{00000001-B19A-4077-974A-835203684B2F}"/>
            </c:ext>
          </c:extLst>
        </c:ser>
        <c:dLbls>
          <c:showLegendKey val="0"/>
          <c:showVal val="0"/>
          <c:showCatName val="0"/>
          <c:showSerName val="0"/>
          <c:showPercent val="0"/>
          <c:showBubbleSize val="0"/>
        </c:dLbls>
        <c:gapWidth val="150"/>
        <c:shape val="box"/>
        <c:axId val="107419136"/>
        <c:axId val="107420672"/>
        <c:axId val="0"/>
      </c:bar3DChart>
      <c:catAx>
        <c:axId val="107419136"/>
        <c:scaling>
          <c:orientation val="minMax"/>
        </c:scaling>
        <c:delete val="0"/>
        <c:axPos val="b"/>
        <c:numFmt formatCode="dd\.mm\.yyyy;@" sourceLinked="0"/>
        <c:majorTickMark val="out"/>
        <c:minorTickMark val="none"/>
        <c:tickLblPos val="low"/>
        <c:spPr>
          <a:ln w="3175">
            <a:solidFill>
              <a:srgbClr val="000000"/>
            </a:solidFill>
            <a:prstDash val="solid"/>
          </a:ln>
        </c:spPr>
        <c:txPr>
          <a:bodyPr rot="-2700000" vert="horz"/>
          <a:lstStyle/>
          <a:p>
            <a:pPr>
              <a:defRPr sz="1025" b="0" i="0" u="none" strike="noStrike" baseline="0">
                <a:solidFill>
                  <a:srgbClr val="000000"/>
                </a:solidFill>
                <a:latin typeface="Arial Cyr"/>
                <a:ea typeface="Arial Cyr"/>
                <a:cs typeface="Arial Cyr"/>
              </a:defRPr>
            </a:pPr>
            <a:endParaRPr lang="uk-UA"/>
          </a:p>
        </c:txPr>
        <c:crossAx val="107420672"/>
        <c:crosses val="autoZero"/>
        <c:auto val="0"/>
        <c:lblAlgn val="ctr"/>
        <c:lblOffset val="100"/>
        <c:tickLblSkip val="1"/>
        <c:tickMarkSkip val="1"/>
        <c:noMultiLvlLbl val="0"/>
      </c:catAx>
      <c:valAx>
        <c:axId val="107420672"/>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Cyr"/>
                <a:ea typeface="Arial Cyr"/>
                <a:cs typeface="Arial Cyr"/>
              </a:defRPr>
            </a:pPr>
            <a:endParaRPr lang="uk-UA"/>
          </a:p>
        </c:txPr>
        <c:crossAx val="107419136"/>
        <c:crosses val="autoZero"/>
        <c:crossBetween val="between"/>
      </c:valAx>
      <c:spPr>
        <a:noFill/>
        <a:ln w="25400">
          <a:noFill/>
        </a:ln>
      </c:spPr>
    </c:plotArea>
    <c:legend>
      <c:legendPos val="t"/>
      <c:layout>
        <c:manualLayout>
          <c:xMode val="edge"/>
          <c:yMode val="edge"/>
          <c:x val="0.80785123832421202"/>
          <c:y val="2.707277364977265E-2"/>
          <c:w val="0.11983478159149896"/>
          <c:h val="7.2758034823111911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SRATE_M!$A$2</c:f>
          <c:strCache>
            <c:ptCount val="1"/>
            <c:pt idx="0">
              <c:v>Державний та гарантований державою борг України
станом на 31.08.2026
(за видами відсоткових ставок)</c:v>
            </c:pt>
          </c:strCache>
        </c:strRef>
      </c:tx>
      <c:layout>
        <c:manualLayout>
          <c:xMode val="edge"/>
          <c:yMode val="edge"/>
          <c:x val="0.2117769117430989"/>
          <c:y val="2.0304580237329489E-2"/>
        </c:manualLayout>
      </c:layout>
      <c:overlay val="0"/>
      <c:spPr>
        <a:noFill/>
        <a:ln w="25400">
          <a:noFill/>
        </a:ln>
      </c:spPr>
      <c:txPr>
        <a:bodyPr/>
        <a:lstStyle/>
        <a:p>
          <a:pPr>
            <a:defRPr sz="16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723140495867769"/>
          <c:y val="0.38747884940778343"/>
          <c:w val="0.47933884297520662"/>
          <c:h val="0.31302876480541453"/>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5D4-4FDF-9DE4-166AC8B628BC}"/>
              </c:ext>
            </c:extLst>
          </c:dPt>
          <c:dPt>
            <c:idx val="1"/>
            <c:bubble3D val="0"/>
            <c:extLst>
              <c:ext xmlns:c16="http://schemas.microsoft.com/office/drawing/2014/chart" uri="{C3380CC4-5D6E-409C-BE32-E72D297353CC}">
                <c16:uniqueId val="{00000001-65D4-4FDF-9DE4-166AC8B628BC}"/>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SRATE!$A$8:$A$9</c:f>
              <c:strCache>
                <c:ptCount val="2"/>
                <c:pt idx="0">
                  <c:v>Борг, по якому сплата відсотків здійснюється за плаваючими процентними ставками</c:v>
                </c:pt>
                <c:pt idx="1">
                  <c:v>Борг, по якому сплата відсотків здійснюється за фіксованими процентними ставками</c:v>
                </c:pt>
              </c:strCache>
            </c:strRef>
          </c:cat>
          <c:val>
            <c:numRef>
              <c:f>SRATE!$B$8:$B$9</c:f>
              <c:numCache>
                <c:formatCode>#,##0.00</c:formatCode>
                <c:ptCount val="2"/>
                <c:pt idx="0">
                  <c:v>61.752006470600001</c:v>
                </c:pt>
                <c:pt idx="1">
                  <c:v>153.79872951925</c:v>
                </c:pt>
              </c:numCache>
            </c:numRef>
          </c:val>
          <c:extLst>
            <c:ext xmlns:c16="http://schemas.microsoft.com/office/drawing/2014/chart" uri="{C3380CC4-5D6E-409C-BE32-E72D297353CC}">
              <c16:uniqueId val="{00000002-65D4-4FDF-9DE4-166AC8B628BC}"/>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RATE!$A$2</c:f>
          <c:strCache>
            <c:ptCount val="1"/>
            <c:pt idx="0">
              <c:v>Державний та гарантований державою борг України
станом на 31.08.2026</c:v>
            </c:pt>
          </c:strCache>
        </c:strRef>
      </c:tx>
      <c:layout>
        <c:manualLayout>
          <c:xMode val="edge"/>
          <c:yMode val="edge"/>
          <c:x val="0.14049587225262652"/>
          <c:y val="2.0304580237329489E-2"/>
        </c:manualLayout>
      </c:layout>
      <c:overlay val="0"/>
      <c:spPr>
        <a:noFill/>
        <a:ln w="25400">
          <a:noFill/>
        </a:ln>
      </c:spPr>
      <c:txPr>
        <a:bodyPr/>
        <a:lstStyle/>
        <a:p>
          <a:pPr>
            <a:defRPr sz="16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826446280991733"/>
          <c:y val="0.41624365482233505"/>
          <c:w val="0.48347107438016529"/>
          <c:h val="0.3147208121827411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265-4905-8513-DB9F78C7EB63}"/>
              </c:ext>
            </c:extLst>
          </c:dPt>
          <c:dPt>
            <c:idx val="1"/>
            <c:bubble3D val="0"/>
            <c:extLst>
              <c:ext xmlns:c16="http://schemas.microsoft.com/office/drawing/2014/chart" uri="{C3380CC4-5D6E-409C-BE32-E72D297353CC}">
                <c16:uniqueId val="{00000001-6265-4905-8513-DB9F78C7EB63}"/>
              </c:ext>
            </c:extLst>
          </c:dPt>
          <c:dPt>
            <c:idx val="2"/>
            <c:bubble3D val="0"/>
            <c:extLst>
              <c:ext xmlns:c16="http://schemas.microsoft.com/office/drawing/2014/chart" uri="{C3380CC4-5D6E-409C-BE32-E72D297353CC}">
                <c16:uniqueId val="{00000002-6265-4905-8513-DB9F78C7EB63}"/>
              </c:ext>
            </c:extLst>
          </c:dPt>
          <c:dLbls>
            <c:numFmt formatCode="0.0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RATE!$A$8:$A$16</c:f>
              <c:strCache>
                <c:ptCount val="9"/>
                <c:pt idx="0">
                  <c:v>EURIBOR</c:v>
                </c:pt>
                <c:pt idx="1">
                  <c:v>SOFR</c:v>
                </c:pt>
                <c:pt idx="2">
                  <c:v>SONIA</c:v>
                </c:pt>
                <c:pt idx="3">
                  <c:v>TORF</c:v>
                </c:pt>
                <c:pt idx="4">
                  <c:v>Індекс споживчих цін (СРІ)</c:v>
                </c:pt>
                <c:pt idx="5">
                  <c:v>Облікова ставка НБУ</c:v>
                </c:pt>
                <c:pt idx="6">
                  <c:v>Ставка МВФ</c:v>
                </c:pt>
                <c:pt idx="7">
                  <c:v>Український індекс ставок за депозитами фізичних осіб</c:v>
                </c:pt>
                <c:pt idx="8">
                  <c:v>Фіксована</c:v>
                </c:pt>
              </c:strCache>
            </c:strRef>
          </c:cat>
          <c:val>
            <c:numRef>
              <c:f>RATE!$B$8:$B$16</c:f>
              <c:numCache>
                <c:formatCode>#,##0.00</c:formatCode>
                <c:ptCount val="9"/>
                <c:pt idx="0">
                  <c:v>7.9190380398800002</c:v>
                </c:pt>
                <c:pt idx="1">
                  <c:v>23.29222988375</c:v>
                </c:pt>
                <c:pt idx="2">
                  <c:v>1.0243711815000001</c:v>
                </c:pt>
                <c:pt idx="3">
                  <c:v>0.19161683547</c:v>
                </c:pt>
                <c:pt idx="4">
                  <c:v>3.2586151669699999</c:v>
                </c:pt>
                <c:pt idx="5">
                  <c:v>6.5000587677899997</c:v>
                </c:pt>
                <c:pt idx="6">
                  <c:v>19.32127082253</c:v>
                </c:pt>
                <c:pt idx="7">
                  <c:v>0.24480577271000001</c:v>
                </c:pt>
                <c:pt idx="8">
                  <c:v>153.79872951925</c:v>
                </c:pt>
              </c:numCache>
            </c:numRef>
          </c:val>
          <c:extLst>
            <c:ext xmlns:c16="http://schemas.microsoft.com/office/drawing/2014/chart" uri="{C3380CC4-5D6E-409C-BE32-E72D297353CC}">
              <c16:uniqueId val="{00000003-6265-4905-8513-DB9F78C7EB6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Державний та гарантований державою борг України
станом на 31.08.2026</c:v>
            </c:pt>
          </c:strCache>
        </c:strRef>
      </c:tx>
      <c:layout>
        <c:manualLayout>
          <c:xMode val="edge"/>
          <c:yMode val="edge"/>
          <c:x val="0.29615342380807813"/>
          <c:y val="0.17733978290402141"/>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5826446280991733"/>
          <c:y val="0.38747884940778343"/>
          <c:w val="0.48347107438016529"/>
          <c:h val="0.3147208121827411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F4C4-45EC-9EDE-3B3AD8A12AD3}"/>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RATE!$A$24:$A$31</c:f>
              <c:strCache>
                <c:ptCount val="8"/>
                <c:pt idx="0">
                  <c:v>EURIBOR</c:v>
                </c:pt>
                <c:pt idx="1">
                  <c:v>SOFR</c:v>
                </c:pt>
                <c:pt idx="2">
                  <c:v>SONIA</c:v>
                </c:pt>
                <c:pt idx="3">
                  <c:v>TORF</c:v>
                </c:pt>
                <c:pt idx="4">
                  <c:v>Індекс споживчих цін (СРІ)</c:v>
                </c:pt>
                <c:pt idx="5">
                  <c:v>Облікова ставка НБУ</c:v>
                </c:pt>
                <c:pt idx="6">
                  <c:v>Ставка МВФ</c:v>
                </c:pt>
                <c:pt idx="7">
                  <c:v>Фіксована</c:v>
                </c:pt>
              </c:strCache>
            </c:strRef>
          </c:cat>
          <c:val>
            <c:numRef>
              <c:f>RATE!$B$24:$B$31</c:f>
              <c:numCache>
                <c:formatCode>#\ ##0.00;\-#\ ##0.00;</c:formatCode>
                <c:ptCount val="8"/>
                <c:pt idx="0" formatCode="#,##0.00">
                  <c:v>6.5707844532299999</c:v>
                </c:pt>
                <c:pt idx="1">
                  <c:v>21.97007545856</c:v>
                </c:pt>
                <c:pt idx="2" formatCode="#,##0.00">
                  <c:v>1.0243711815000001</c:v>
                </c:pt>
                <c:pt idx="3" formatCode="#,##0.00">
                  <c:v>0.19161683547</c:v>
                </c:pt>
                <c:pt idx="4" formatCode="#,##0.00">
                  <c:v>3.2586151669699999</c:v>
                </c:pt>
                <c:pt idx="5" formatCode="#,##0.00">
                  <c:v>6.285002413</c:v>
                </c:pt>
                <c:pt idx="6" formatCode="#,##0.00">
                  <c:v>18.96062532441</c:v>
                </c:pt>
                <c:pt idx="7" formatCode="#,##0.00">
                  <c:v>151.50267557033001</c:v>
                </c:pt>
              </c:numCache>
            </c:numRef>
          </c:val>
          <c:extLst>
            <c:ext xmlns:c16="http://schemas.microsoft.com/office/drawing/2014/chart" uri="{C3380CC4-5D6E-409C-BE32-E72D297353CC}">
              <c16:uniqueId val="{00000001-F4C4-45EC-9EDE-3B3AD8A12AD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CUR_M!$A$2</c:f>
          <c:strCache>
            <c:ptCount val="1"/>
            <c:pt idx="0">
              <c:v>Державний та гарантований державою борг України за станом на 31.08.2026</c:v>
            </c:pt>
          </c:strCache>
        </c:strRef>
      </c:tx>
      <c:layout>
        <c:manualLayout>
          <c:xMode val="edge"/>
          <c:yMode val="edge"/>
          <c:x val="0.18181816208844334"/>
          <c:y val="2.0304580237329489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6528925619834711"/>
          <c:y val="0.32656514382402707"/>
          <c:w val="0.66942148760330578"/>
          <c:h val="0.4365482233502537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8980-4D3A-9D93-DBC6954208B0}"/>
              </c:ext>
            </c:extLst>
          </c:dPt>
          <c:dPt>
            <c:idx val="1"/>
            <c:bubble3D val="0"/>
            <c:extLst>
              <c:ext xmlns:c16="http://schemas.microsoft.com/office/drawing/2014/chart" uri="{C3380CC4-5D6E-409C-BE32-E72D297353CC}">
                <c16:uniqueId val="{00000001-8980-4D3A-9D93-DBC6954208B0}"/>
              </c:ext>
            </c:extLst>
          </c:dPt>
          <c:dPt>
            <c:idx val="2"/>
            <c:bubble3D val="0"/>
            <c:extLst>
              <c:ext xmlns:c16="http://schemas.microsoft.com/office/drawing/2014/chart" uri="{C3380CC4-5D6E-409C-BE32-E72D297353CC}">
                <c16:uniqueId val="{00000002-8980-4D3A-9D93-DBC6954208B0}"/>
              </c:ext>
            </c:extLst>
          </c:dPt>
          <c:dPt>
            <c:idx val="3"/>
            <c:bubble3D val="0"/>
            <c:extLst>
              <c:ext xmlns:c16="http://schemas.microsoft.com/office/drawing/2014/chart" uri="{C3380CC4-5D6E-409C-BE32-E72D297353CC}">
                <c16:uniqueId val="{00000003-8980-4D3A-9D93-DBC6954208B0}"/>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CUR_M!$A$8:$A$14</c:f>
              <c:strCache>
                <c:ptCount val="7"/>
                <c:pt idx="0">
                  <c:v>Анг. фунт стерлінгів</c:v>
                </c:pt>
                <c:pt idx="1">
                  <c:v>Долар США</c:v>
                </c:pt>
                <c:pt idx="2">
                  <c:v>ЄВРО</c:v>
                </c:pt>
                <c:pt idx="3">
                  <c:v>Канадський долар</c:v>
                </c:pt>
                <c:pt idx="4">
                  <c:v>СПЗ</c:v>
                </c:pt>
                <c:pt idx="5">
                  <c:v>Українська гривня</c:v>
                </c:pt>
                <c:pt idx="6">
                  <c:v>Японська єна</c:v>
                </c:pt>
              </c:strCache>
            </c:strRef>
          </c:cat>
          <c:val>
            <c:numRef>
              <c:f>CUR_M!$B$8:$B$14</c:f>
              <c:numCache>
                <c:formatCode>#,##0.00</c:formatCode>
                <c:ptCount val="7"/>
                <c:pt idx="0">
                  <c:v>1.05020610488</c:v>
                </c:pt>
                <c:pt idx="1">
                  <c:v>49.451781718100001</c:v>
                </c:pt>
                <c:pt idx="2">
                  <c:v>96.940629834459997</c:v>
                </c:pt>
                <c:pt idx="3">
                  <c:v>4.8736119684399997</c:v>
                </c:pt>
                <c:pt idx="4">
                  <c:v>19.32127082253</c:v>
                </c:pt>
                <c:pt idx="5">
                  <c:v>43.06814144266</c:v>
                </c:pt>
                <c:pt idx="6">
                  <c:v>0.84509409877999997</c:v>
                </c:pt>
              </c:numCache>
            </c:numRef>
          </c:val>
          <c:extLst>
            <c:ext xmlns:c16="http://schemas.microsoft.com/office/drawing/2014/chart" uri="{C3380CC4-5D6E-409C-BE32-E72D297353CC}">
              <c16:uniqueId val="{00000004-8980-4D3A-9D93-DBC6954208B0}"/>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Державний та гарантований державою борг України
станом на 31.08.2026</c:v>
            </c:pt>
          </c:strCache>
        </c:strRef>
      </c:tx>
      <c:layout>
        <c:manualLayout>
          <c:xMode val="edge"/>
          <c:yMode val="edge"/>
          <c:x val="0.29752065315606041"/>
          <c:y val="4.9593285671927001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6528925619834711"/>
          <c:y val="0.32656514382402707"/>
          <c:w val="0.66942148760330578"/>
          <c:h val="0.43654822335025378"/>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F5E8-4C72-84B9-1BE80B9DB0F2}"/>
              </c:ext>
            </c:extLst>
          </c:dPt>
          <c:dPt>
            <c:idx val="1"/>
            <c:bubble3D val="0"/>
            <c:extLst>
              <c:ext xmlns:c16="http://schemas.microsoft.com/office/drawing/2014/chart" uri="{C3380CC4-5D6E-409C-BE32-E72D297353CC}">
                <c16:uniqueId val="{00000001-F5E8-4C72-84B9-1BE80B9DB0F2}"/>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CUR!$A$25:$A$35</c:f>
              <c:strCache>
                <c:ptCount val="11"/>
                <c:pt idx="0">
                  <c:v>Внутрішній борг</c:v>
                </c:pt>
                <c:pt idx="1">
                  <c:v>Долар США</c:v>
                </c:pt>
                <c:pt idx="2">
                  <c:v>ЄВРО</c:v>
                </c:pt>
                <c:pt idx="3">
                  <c:v>Українська гривня</c:v>
                </c:pt>
                <c:pt idx="4">
                  <c:v>Зовнішній борг</c:v>
                </c:pt>
                <c:pt idx="5">
                  <c:v>Анг. фунт стерлінгів</c:v>
                </c:pt>
                <c:pt idx="6">
                  <c:v>Долар США</c:v>
                </c:pt>
                <c:pt idx="7">
                  <c:v>ЄВРО</c:v>
                </c:pt>
                <c:pt idx="8">
                  <c:v>Канадський долар</c:v>
                </c:pt>
                <c:pt idx="9">
                  <c:v>СПЗ</c:v>
                </c:pt>
                <c:pt idx="10">
                  <c:v>Японська єна</c:v>
                </c:pt>
              </c:strCache>
            </c:strRef>
          </c:cat>
          <c:val>
            <c:numRef>
              <c:f>CUR!$B$25:$B$35</c:f>
              <c:numCache>
                <c:formatCode>#,##0.00</c:formatCode>
                <c:ptCount val="11"/>
                <c:pt idx="0" formatCode="#\ ##0.00;\-#\ ##0.00;">
                  <c:v>44.968409390170002</c:v>
                </c:pt>
                <c:pt idx="1">
                  <c:v>2.2209850000000002</c:v>
                </c:pt>
                <c:pt idx="2">
                  <c:v>1.0559901082700001</c:v>
                </c:pt>
                <c:pt idx="3">
                  <c:v>41.691434281900001</c:v>
                </c:pt>
                <c:pt idx="4">
                  <c:v>164.79535701329999</c:v>
                </c:pt>
                <c:pt idx="5">
                  <c:v>1.05020610488</c:v>
                </c:pt>
                <c:pt idx="6">
                  <c:v>44.915368319590002</c:v>
                </c:pt>
                <c:pt idx="7">
                  <c:v>94.150451197199999</c:v>
                </c:pt>
                <c:pt idx="8">
                  <c:v>4.8736119684399997</c:v>
                </c:pt>
                <c:pt idx="9">
                  <c:v>18.96062532441</c:v>
                </c:pt>
                <c:pt idx="10">
                  <c:v>0.84509409877999997</c:v>
                </c:pt>
              </c:numCache>
            </c:numRef>
          </c:val>
          <c:extLst>
            <c:ext xmlns:c16="http://schemas.microsoft.com/office/drawing/2014/chart" uri="{C3380CC4-5D6E-409C-BE32-E72D297353CC}">
              <c16:uniqueId val="{00000002-F5E8-4C72-84B9-1BE80B9DB0F2}"/>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DKR!$A$2</c:f>
          <c:strCache>
            <c:ptCount val="1"/>
            <c:pt idx="0">
              <c:v>Державний та гарантований державою борг України
станом на 31.08.2026</c:v>
            </c:pt>
          </c:strCache>
        </c:strRef>
      </c:tx>
      <c:layout>
        <c:manualLayout>
          <c:xMode val="edge"/>
          <c:yMode val="edge"/>
          <c:x val="0.29383998106794029"/>
          <c:y val="8.3066089019207326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76DF-4B00-B33F-41B909F67024}"/>
              </c:ext>
            </c:extLst>
          </c:dPt>
          <c:dPt>
            <c:idx val="1"/>
            <c:bubble3D val="0"/>
            <c:extLst>
              <c:ext xmlns:c16="http://schemas.microsoft.com/office/drawing/2014/chart" uri="{C3380CC4-5D6E-409C-BE32-E72D297353CC}">
                <c16:uniqueId val="{00000001-76DF-4B00-B33F-41B909F67024}"/>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6DF-4B00-B33F-41B909F67024}"/>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6DF-4B00-B33F-41B909F67024}"/>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6DF-4B00-B33F-41B909F67024}"/>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76DF-4B00-B33F-41B909F67024}"/>
                </c:ext>
              </c:extLst>
            </c:dLbl>
            <c:dLbl>
              <c:idx val="5"/>
              <c:layout>
                <c:manualLayout>
                  <c:x val="-1.4590834355166019E-2"/>
                  <c:y val="-0.5795586873558340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6DF-4B00-B33F-41B909F67024}"/>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76DF-4B00-B33F-41B909F67024}"/>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DKR!$A$8:$A$15</c:f>
              <c:strCache>
                <c:ptCount val="8"/>
                <c:pt idx="0">
                  <c:v>Внутрішній борг за випущеними цінними паперами</c:v>
                </c:pt>
                <c:pt idx="1">
                  <c:v>Внутрішній борг перед банківськими та іншими фінансовими установами</c:v>
                </c:pt>
                <c:pt idx="2">
                  <c:v>Внутрішня заборгованість, не віднесена до інших категорій</c:v>
                </c:pt>
                <c:pt idx="3">
                  <c:v>Зовнішній борг за випущеними цінними паперами</c:v>
                </c:pt>
                <c:pt idx="4">
                  <c:v>Зовнішній борг за позиками, одержаними від іноземних комерційних банків, інших іноземних фінансових установ</c:v>
                </c:pt>
                <c:pt idx="5">
                  <c:v>Зовнішній борг за позиками, одержаними від міжнародних фінансових організацій</c:v>
                </c:pt>
                <c:pt idx="6">
                  <c:v>Зовнішній борг за позиками, одержаними від органів управління іноземних держав</c:v>
                </c:pt>
                <c:pt idx="7">
                  <c:v>Зовнішній борг, не віднесений до інших категорій</c:v>
                </c:pt>
              </c:strCache>
            </c:strRef>
          </c:cat>
          <c:val>
            <c:numRef>
              <c:f>DKR!$B$8:$B$15</c:f>
              <c:numCache>
                <c:formatCode>#,##0.00</c:formatCode>
                <c:ptCount val="8"/>
                <c:pt idx="0">
                  <c:v>44.995762902160003</c:v>
                </c:pt>
                <c:pt idx="1">
                  <c:v>1.36011555372</c:v>
                </c:pt>
                <c:pt idx="2">
                  <c:v>2.1428489999999999E-5</c:v>
                </c:pt>
                <c:pt idx="3">
                  <c:v>22.575640004</c:v>
                </c:pt>
                <c:pt idx="4">
                  <c:v>2.37355356616</c:v>
                </c:pt>
                <c:pt idx="5">
                  <c:v>130.29179993904</c:v>
                </c:pt>
                <c:pt idx="6">
                  <c:v>9.5218809458300004</c:v>
                </c:pt>
                <c:pt idx="7">
                  <c:v>4.4319616504499999</c:v>
                </c:pt>
              </c:numCache>
            </c:numRef>
          </c:val>
          <c:extLst>
            <c:ext xmlns:c16="http://schemas.microsoft.com/office/drawing/2014/chart" uri="{C3380CC4-5D6E-409C-BE32-E72D297353CC}">
              <c16:uniqueId val="{00000007-76DF-4B00-B33F-41B909F67024}"/>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Державний та гарантований державою борг України
станом на 31.08.2026</c:v>
            </c:pt>
          </c:strCache>
        </c:strRef>
      </c:tx>
      <c:layout>
        <c:manualLayout>
          <c:xMode val="edge"/>
          <c:yMode val="edge"/>
          <c:x val="0.29752064859524407"/>
          <c:y val="2.030456852791878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299B-4D42-A771-1CD3B3A65AF3}"/>
              </c:ext>
            </c:extLst>
          </c:dPt>
          <c:dPt>
            <c:idx val="1"/>
            <c:bubble3D val="0"/>
            <c:extLst>
              <c:ext xmlns:c16="http://schemas.microsoft.com/office/drawing/2014/chart" uri="{C3380CC4-5D6E-409C-BE32-E72D297353CC}">
                <c16:uniqueId val="{00000001-299B-4D42-A771-1CD3B3A65AF3}"/>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299B-4D42-A771-1CD3B3A65AF3}"/>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299B-4D42-A771-1CD3B3A65AF3}"/>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299B-4D42-A771-1CD3B3A65AF3}"/>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299B-4D42-A771-1CD3B3A65AF3}"/>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299B-4D42-A771-1CD3B3A65AF3}"/>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299B-4D42-A771-1CD3B3A65AF3}"/>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'DKR2'!$A$10:$A$16</c:f>
              <c:strCache>
                <c:ptCount val="7"/>
                <c:pt idx="0">
                  <c:v>Внутрішній борг за випущеними цінними паперами</c:v>
                </c:pt>
                <c:pt idx="1">
                  <c:v>Внутрішній борг перед банківськими та іншими фінансовими установами</c:v>
                </c:pt>
                <c:pt idx="2">
                  <c:v>Зовнішній борг за випущеними цінними паперами</c:v>
                </c:pt>
                <c:pt idx="3">
                  <c:v>Зовнішній борг за позиками, одержаними від іноземних комерційних банків, інших іноземних фінансових установ</c:v>
                </c:pt>
                <c:pt idx="4">
                  <c:v>Зовнішній борг за позиками, одержаними від міжнародних фінансових організацій</c:v>
                </c:pt>
                <c:pt idx="5">
                  <c:v>Зовнішній борг за позиками, одержаними від органів управління іноземних держав</c:v>
                </c:pt>
                <c:pt idx="6">
                  <c:v>Зовнішній борг, не віднесений до інших категорій</c:v>
                </c:pt>
              </c:strCache>
            </c:strRef>
          </c:cat>
          <c:val>
            <c:numRef>
              <c:f>'DKR2'!$B$10:$B$16</c:f>
              <c:numCache>
                <c:formatCode>#,##0.00</c:formatCode>
                <c:ptCount val="7"/>
                <c:pt idx="0">
                  <c:v>44.940207709740001</c:v>
                </c:pt>
                <c:pt idx="1">
                  <c:v>2.8201680430000001E-2</c:v>
                </c:pt>
                <c:pt idx="2">
                  <c:v>21.750640004000001</c:v>
                </c:pt>
                <c:pt idx="3">
                  <c:v>2.21710125811</c:v>
                </c:pt>
                <c:pt idx="4">
                  <c:v>127.84683503487</c:v>
                </c:pt>
                <c:pt idx="5">
                  <c:v>8.6603050454799995</c:v>
                </c:pt>
                <c:pt idx="6">
                  <c:v>4.3204756708399996</c:v>
                </c:pt>
              </c:numCache>
            </c:numRef>
          </c:val>
          <c:extLst>
            <c:ext xmlns:c16="http://schemas.microsoft.com/office/drawing/2014/chart" uri="{C3380CC4-5D6E-409C-BE32-E72D297353CC}">
              <c16:uniqueId val="{00000007-299B-4D42-A771-1CD3B3A65AF3}"/>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Державний та гарантований державою борг України
станом на 31.08.2026</c:v>
            </c:pt>
          </c:strCache>
        </c:strRef>
      </c:tx>
      <c:layout>
        <c:manualLayout>
          <c:xMode val="edge"/>
          <c:yMode val="edge"/>
          <c:x val="0.27758766834473558"/>
          <c:y val="7.4697888182387248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19834710743801653"/>
          <c:y val="0.34856175972927245"/>
          <c:w val="0.60330578512396693"/>
          <c:h val="0.39086294416243655"/>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4A6B-4E6C-A418-F41B99DF962E}"/>
              </c:ext>
            </c:extLst>
          </c:dPt>
          <c:dPt>
            <c:idx val="1"/>
            <c:bubble3D val="0"/>
            <c:extLst>
              <c:ext xmlns:c16="http://schemas.microsoft.com/office/drawing/2014/chart" uri="{C3380CC4-5D6E-409C-BE32-E72D297353CC}">
                <c16:uniqueId val="{00000001-4A6B-4E6C-A418-F41B99DF962E}"/>
              </c:ext>
            </c:extLst>
          </c:dPt>
          <c:dLbls>
            <c:dLbl>
              <c:idx val="0"/>
              <c:layout>
                <c:manualLayout>
                  <c:x val="1.2647170626016634E-2"/>
                  <c:y val="-1.91594832371842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A6B-4E6C-A418-F41B99DF962E}"/>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A6B-4E6C-A418-F41B99DF962E}"/>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A6B-4E6C-A418-F41B99DF962E}"/>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A6B-4E6C-A418-F41B99DF962E}"/>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A6B-4E6C-A418-F41B99DF962E}"/>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A6B-4E6C-A418-F41B99DF962E}"/>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'DKR2'!$A$18:$A$25</c:f>
              <c:strCache>
                <c:ptCount val="8"/>
                <c:pt idx="0">
                  <c:v>Внутрішній борг за випущеними цінними паперами</c:v>
                </c:pt>
                <c:pt idx="1">
                  <c:v>Внутрішній борг перед банківськими та іншими фінансовими установами</c:v>
                </c:pt>
                <c:pt idx="2">
                  <c:v>Внутрішня заборгованість, не віднесена до інших категорій</c:v>
                </c:pt>
                <c:pt idx="3">
                  <c:v>Зовнішній борг за випущеними цінними паперами</c:v>
                </c:pt>
                <c:pt idx="4">
                  <c:v>Зовнішній борг за позиками, одержаними від іноземних комерційних банків, інших іноземних фінансових установ</c:v>
                </c:pt>
                <c:pt idx="5">
                  <c:v>Зовнішній борг за позиками, одержаними від міжнародних фінансових організацій</c:v>
                </c:pt>
                <c:pt idx="6">
                  <c:v>Зовнішній борг за позиками, одержаними від органів управління іноземних держав</c:v>
                </c:pt>
                <c:pt idx="7">
                  <c:v>Зовнішній борг, не віднесений до інших категорій</c:v>
                </c:pt>
              </c:strCache>
            </c:strRef>
          </c:cat>
          <c:val>
            <c:numRef>
              <c:f>'DKR2'!$B$18:$B$25</c:f>
              <c:numCache>
                <c:formatCode>#,##0.00</c:formatCode>
                <c:ptCount val="8"/>
                <c:pt idx="0">
                  <c:v>5.5555192420000003E-2</c:v>
                </c:pt>
                <c:pt idx="1">
                  <c:v>1.33191387329</c:v>
                </c:pt>
                <c:pt idx="2">
                  <c:v>2.1428489999999999E-5</c:v>
                </c:pt>
                <c:pt idx="3">
                  <c:v>0.82499999999999996</c:v>
                </c:pt>
                <c:pt idx="4">
                  <c:v>0.15645230804999999</c:v>
                </c:pt>
                <c:pt idx="5">
                  <c:v>2.4449649041699999</c:v>
                </c:pt>
                <c:pt idx="6">
                  <c:v>0.86157590034999998</c:v>
                </c:pt>
                <c:pt idx="7">
                  <c:v>0.11148597960999999</c:v>
                </c:pt>
              </c:numCache>
            </c:numRef>
          </c:val>
          <c:extLst>
            <c:ext xmlns:c16="http://schemas.microsoft.com/office/drawing/2014/chart" uri="{C3380CC4-5D6E-409C-BE32-E72D297353CC}">
              <c16:uniqueId val="{00000007-4A6B-4E6C-A418-F41B99DF962E}"/>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YT_ALL!$A$10</c:f>
          <c:strCache>
            <c:ptCount val="1"/>
            <c:pt idx="0">
              <c:v>Державний та гарантований державою борг України за останні 5 років (млрд. дол. США)</c:v>
            </c:pt>
          </c:strCache>
        </c:strRef>
      </c:tx>
      <c:layout>
        <c:manualLayout>
          <c:xMode val="edge"/>
          <c:yMode val="edge"/>
          <c:x val="0.13421837628658195"/>
          <c:y val="3.0748380995456508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8.6776859504132234E-2"/>
          <c:y val="0.10490693739424704"/>
          <c:w val="0.77685950413223137"/>
          <c:h val="0.82741116751269039"/>
        </c:manualLayout>
      </c:layout>
      <c:bar3DChart>
        <c:barDir val="col"/>
        <c:grouping val="stacked"/>
        <c:varyColors val="0"/>
        <c:ser>
          <c:idx val="0"/>
          <c:order val="0"/>
          <c:tx>
            <c:strRef>
              <c:f>YT_ALL!$A$13</c:f>
              <c:strCache>
                <c:ptCount val="1"/>
                <c:pt idx="0">
                  <c:v>Внутрішній борг</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YT_ALL!$B$11:$G$11</c:f>
              <c:numCache>
                <c:formatCode>dd\.mm\.yyyy;@</c:formatCode>
                <c:ptCount val="6"/>
                <c:pt idx="0">
                  <c:v>44561</c:v>
                </c:pt>
                <c:pt idx="1">
                  <c:v>44926</c:v>
                </c:pt>
                <c:pt idx="2">
                  <c:v>45291</c:v>
                </c:pt>
                <c:pt idx="3">
                  <c:v>45657</c:v>
                </c:pt>
                <c:pt idx="4">
                  <c:v>46022</c:v>
                </c:pt>
                <c:pt idx="5">
                  <c:v>46265</c:v>
                </c:pt>
              </c:numCache>
            </c:numRef>
          </c:cat>
          <c:val>
            <c:numRef>
              <c:f>YT_ALL!$B$13:$G$13</c:f>
              <c:numCache>
                <c:formatCode>#,##0.00</c:formatCode>
                <c:ptCount val="6"/>
                <c:pt idx="0">
                  <c:v>40.750410997160003</c:v>
                </c:pt>
                <c:pt idx="1">
                  <c:v>39.976596962419997</c:v>
                </c:pt>
                <c:pt idx="2">
                  <c:v>43.612207332799997</c:v>
                </c:pt>
                <c:pt idx="3">
                  <c:v>45.968971226080001</c:v>
                </c:pt>
                <c:pt idx="4">
                  <c:v>47.926573257919998</c:v>
                </c:pt>
                <c:pt idx="5">
                  <c:v>46.355899884369997</c:v>
                </c:pt>
              </c:numCache>
            </c:numRef>
          </c:val>
          <c:extLst>
            <c:ext xmlns:c16="http://schemas.microsoft.com/office/drawing/2014/chart" uri="{C3380CC4-5D6E-409C-BE32-E72D297353CC}">
              <c16:uniqueId val="{00000000-19CB-437E-BDC6-145CF5FAFAF1}"/>
            </c:ext>
          </c:extLst>
        </c:ser>
        <c:ser>
          <c:idx val="1"/>
          <c:order val="1"/>
          <c:tx>
            <c:strRef>
              <c:f>YT_ALL!$A$14</c:f>
              <c:strCache>
                <c:ptCount val="1"/>
                <c:pt idx="0">
                  <c:v>Зовнішній борг</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YT_ALL!$B$11:$G$11</c:f>
              <c:numCache>
                <c:formatCode>dd\.mm\.yyyy;@</c:formatCode>
                <c:ptCount val="6"/>
                <c:pt idx="0">
                  <c:v>44561</c:v>
                </c:pt>
                <c:pt idx="1">
                  <c:v>44926</c:v>
                </c:pt>
                <c:pt idx="2">
                  <c:v>45291</c:v>
                </c:pt>
                <c:pt idx="3">
                  <c:v>45657</c:v>
                </c:pt>
                <c:pt idx="4">
                  <c:v>46022</c:v>
                </c:pt>
                <c:pt idx="5">
                  <c:v>46265</c:v>
                </c:pt>
              </c:numCache>
            </c:numRef>
          </c:cat>
          <c:val>
            <c:numRef>
              <c:f>YT_ALL!$B$14:$G$14</c:f>
              <c:numCache>
                <c:formatCode>#,##0.00</c:formatCode>
                <c:ptCount val="6"/>
                <c:pt idx="0">
                  <c:v>57.205466601799998</c:v>
                </c:pt>
                <c:pt idx="1">
                  <c:v>71.473331067700002</c:v>
                </c:pt>
                <c:pt idx="2">
                  <c:v>101.70866387613</c:v>
                </c:pt>
                <c:pt idx="3">
                  <c:v>120.09078008224</c:v>
                </c:pt>
                <c:pt idx="4">
                  <c:v>165.40549464717</c:v>
                </c:pt>
                <c:pt idx="5">
                  <c:v>169.19483610547999</c:v>
                </c:pt>
              </c:numCache>
            </c:numRef>
          </c:val>
          <c:extLst>
            <c:ext xmlns:c16="http://schemas.microsoft.com/office/drawing/2014/chart" uri="{C3380CC4-5D6E-409C-BE32-E72D297353CC}">
              <c16:uniqueId val="{00000001-19CB-437E-BDC6-145CF5FAFAF1}"/>
            </c:ext>
          </c:extLst>
        </c:ser>
        <c:dLbls>
          <c:showLegendKey val="0"/>
          <c:showVal val="1"/>
          <c:showCatName val="0"/>
          <c:showSerName val="0"/>
          <c:showPercent val="0"/>
          <c:showBubbleSize val="0"/>
        </c:dLbls>
        <c:gapWidth val="150"/>
        <c:shape val="box"/>
        <c:axId val="109175552"/>
        <c:axId val="109177088"/>
        <c:axId val="0"/>
      </c:bar3DChart>
      <c:dateAx>
        <c:axId val="10917555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77088"/>
        <c:crosses val="autoZero"/>
        <c:auto val="1"/>
        <c:lblOffset val="100"/>
        <c:baseTimeUnit val="years"/>
        <c:majorUnit val="1"/>
        <c:majorTimeUnit val="years"/>
        <c:minorUnit val="1"/>
        <c:minorTimeUnit val="years"/>
      </c:dateAx>
      <c:valAx>
        <c:axId val="109177088"/>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75552"/>
        <c:crosses val="autoZero"/>
        <c:crossBetween val="between"/>
      </c:valAx>
      <c:spPr>
        <a:noFill/>
        <a:ln w="25400">
          <a:noFill/>
        </a:ln>
      </c:spPr>
    </c:plotArea>
    <c:legend>
      <c:legendPos val="r"/>
      <c:layout>
        <c:manualLayout>
          <c:xMode val="edge"/>
          <c:yMode val="edge"/>
          <c:x val="0.7944214729105088"/>
          <c:y val="0.13197969543147209"/>
          <c:w val="0.11983475695320922"/>
          <c:h val="7.275803722504228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YT_ALL!$A$4</c:f>
          <c:strCache>
            <c:ptCount val="1"/>
            <c:pt idx="0">
              <c:v>Державний та гарантований державою борг України за останні 5 років (млрд. грн)</c:v>
            </c:pt>
          </c:strCache>
        </c:strRef>
      </c:tx>
      <c:layout>
        <c:manualLayout>
          <c:xMode val="edge"/>
          <c:yMode val="edge"/>
          <c:x val="0.13993313805057647"/>
          <c:y val="2.2393289611644496E-2"/>
        </c:manualLayout>
      </c:layout>
      <c:overlay val="0"/>
      <c:spPr>
        <a:noFill/>
        <a:ln w="25400">
          <a:noFill/>
        </a:ln>
      </c:spPr>
      <c:txPr>
        <a:bodyPr/>
        <a:lstStyle/>
        <a:p>
          <a:pPr>
            <a:defRPr sz="1000" b="1"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9.4008264462809923E-2"/>
          <c:y val="0.10490693739424704"/>
          <c:w val="0.76962809917355368"/>
          <c:h val="0.82741116751269039"/>
        </c:manualLayout>
      </c:layout>
      <c:bar3DChart>
        <c:barDir val="col"/>
        <c:grouping val="stacked"/>
        <c:varyColors val="0"/>
        <c:ser>
          <c:idx val="0"/>
          <c:order val="0"/>
          <c:tx>
            <c:strRef>
              <c:f>YT_ALL!$A$7</c:f>
              <c:strCache>
                <c:ptCount val="1"/>
                <c:pt idx="0">
                  <c:v>Внутрішній борг</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YT_ALL!$B$5:$G$5</c:f>
              <c:numCache>
                <c:formatCode>dd\.mm\.yyyy;@</c:formatCode>
                <c:ptCount val="6"/>
                <c:pt idx="0">
                  <c:v>44561</c:v>
                </c:pt>
                <c:pt idx="1">
                  <c:v>44926</c:v>
                </c:pt>
                <c:pt idx="2">
                  <c:v>45291</c:v>
                </c:pt>
                <c:pt idx="3">
                  <c:v>45657</c:v>
                </c:pt>
                <c:pt idx="4">
                  <c:v>46022</c:v>
                </c:pt>
                <c:pt idx="5">
                  <c:v>46265</c:v>
                </c:pt>
              </c:numCache>
            </c:numRef>
          </c:cat>
          <c:val>
            <c:numRef>
              <c:f>YT_ALL!$B$7:$G$7</c:f>
              <c:numCache>
                <c:formatCode>#,##0.00</c:formatCode>
                <c:ptCount val="6"/>
                <c:pt idx="0">
                  <c:v>1111.59786125906</c:v>
                </c:pt>
                <c:pt idx="1">
                  <c:v>1461.888183668</c:v>
                </c:pt>
                <c:pt idx="2">
                  <c:v>1656.49630379928</c:v>
                </c:pt>
                <c:pt idx="3">
                  <c:v>1932.48958136344</c:v>
                </c:pt>
                <c:pt idx="4">
                  <c:v>2031.50200194128</c:v>
                </c:pt>
                <c:pt idx="5">
                  <c:v>2065.1785177859101</c:v>
                </c:pt>
              </c:numCache>
            </c:numRef>
          </c:val>
          <c:extLst>
            <c:ext xmlns:c16="http://schemas.microsoft.com/office/drawing/2014/chart" uri="{C3380CC4-5D6E-409C-BE32-E72D297353CC}">
              <c16:uniqueId val="{00000000-6B3A-4E4F-96FB-BE1FFD02D854}"/>
            </c:ext>
          </c:extLst>
        </c:ser>
        <c:ser>
          <c:idx val="1"/>
          <c:order val="1"/>
          <c:tx>
            <c:strRef>
              <c:f>YT_ALL!$A$8</c:f>
              <c:strCache>
                <c:ptCount val="1"/>
                <c:pt idx="0">
                  <c:v>Зовнішній борг</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YT_ALL!$B$5:$G$5</c:f>
              <c:numCache>
                <c:formatCode>dd\.mm\.yyyy;@</c:formatCode>
                <c:ptCount val="6"/>
                <c:pt idx="0">
                  <c:v>44561</c:v>
                </c:pt>
                <c:pt idx="1">
                  <c:v>44926</c:v>
                </c:pt>
                <c:pt idx="2">
                  <c:v>45291</c:v>
                </c:pt>
                <c:pt idx="3">
                  <c:v>45657</c:v>
                </c:pt>
                <c:pt idx="4">
                  <c:v>46022</c:v>
                </c:pt>
                <c:pt idx="5">
                  <c:v>46265</c:v>
                </c:pt>
              </c:numCache>
            </c:numRef>
          </c:cat>
          <c:val>
            <c:numRef>
              <c:f>YT_ALL!$B$8:$G$8</c:f>
              <c:numCache>
                <c:formatCode>#,##0.00</c:formatCode>
                <c:ptCount val="6"/>
                <c:pt idx="0">
                  <c:v>1560.4621590567101</c:v>
                </c:pt>
                <c:pt idx="1">
                  <c:v>2613.6796544812701</c:v>
                </c:pt>
                <c:pt idx="2">
                  <c:v>3863.13915481087</c:v>
                </c:pt>
                <c:pt idx="3">
                  <c:v>5048.4963038821397</c:v>
                </c:pt>
                <c:pt idx="4">
                  <c:v>7011.1750260041099</c:v>
                </c:pt>
                <c:pt idx="5">
                  <c:v>7537.7145459150597</c:v>
                </c:pt>
              </c:numCache>
            </c:numRef>
          </c:val>
          <c:extLst>
            <c:ext xmlns:c16="http://schemas.microsoft.com/office/drawing/2014/chart" uri="{C3380CC4-5D6E-409C-BE32-E72D297353CC}">
              <c16:uniqueId val="{00000001-6B3A-4E4F-96FB-BE1FFD02D854}"/>
            </c:ext>
          </c:extLst>
        </c:ser>
        <c:dLbls>
          <c:showLegendKey val="0"/>
          <c:showVal val="1"/>
          <c:showCatName val="0"/>
          <c:showSerName val="0"/>
          <c:showPercent val="0"/>
          <c:showBubbleSize val="0"/>
        </c:dLbls>
        <c:gapWidth val="150"/>
        <c:shape val="box"/>
        <c:axId val="109101440"/>
        <c:axId val="109102976"/>
        <c:axId val="0"/>
      </c:bar3DChart>
      <c:dateAx>
        <c:axId val="109101440"/>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02976"/>
        <c:crosses val="autoZero"/>
        <c:auto val="1"/>
        <c:lblOffset val="100"/>
        <c:baseTimeUnit val="years"/>
        <c:majorUnit val="1"/>
        <c:majorTimeUnit val="years"/>
        <c:minorUnit val="1"/>
        <c:minorTimeUnit val="years"/>
      </c:dateAx>
      <c:valAx>
        <c:axId val="10910297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101440"/>
        <c:crosses val="autoZero"/>
        <c:crossBetween val="between"/>
      </c:valAx>
      <c:spPr>
        <a:noFill/>
        <a:ln w="25400">
          <a:noFill/>
        </a:ln>
      </c:spPr>
    </c:plotArea>
    <c:legend>
      <c:legendPos val="r"/>
      <c:layout>
        <c:manualLayout>
          <c:xMode val="edge"/>
          <c:yMode val="edge"/>
          <c:x val="0.7944214729105088"/>
          <c:y val="0.13197969543147209"/>
          <c:w val="0.11983475695320922"/>
          <c:h val="7.2758037225042288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[0]!DEBT_LAST_5_YEARS_PERCENT</c:f>
          <c:strCache>
            <c:ptCount val="1"/>
            <c:pt idx="0">
              <c:v>Динаміка державного боргу за останні 5 років
(відсоткова структура)</c:v>
            </c:pt>
          </c:strCache>
        </c:strRef>
      </c:tx>
      <c:layout>
        <c:manualLayout>
          <c:xMode val="edge"/>
          <c:yMode val="edge"/>
          <c:x val="0.30785127040092064"/>
          <c:y val="2.030456852791878E-2"/>
        </c:manualLayout>
      </c:layout>
      <c:overlay val="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title>
    <c:autoTitleDeleted val="0"/>
    <c:view3D>
      <c:rotX val="15"/>
      <c:hPercent val="63"/>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7.3347107438016534E-2"/>
          <c:y val="0.10490693739424704"/>
          <c:w val="0.79028925619834711"/>
          <c:h val="0.82741116751269039"/>
        </c:manualLayout>
      </c:layout>
      <c:bar3DChart>
        <c:barDir val="col"/>
        <c:grouping val="stacked"/>
        <c:varyColors val="0"/>
        <c:ser>
          <c:idx val="0"/>
          <c:order val="0"/>
          <c:tx>
            <c:strRef>
              <c:f>YT_ALL!$A$19</c:f>
              <c:strCache>
                <c:ptCount val="1"/>
                <c:pt idx="0">
                  <c:v>Внутрішній борг</c:v>
                </c:pt>
              </c:strCache>
            </c:strRef>
          </c:tx>
          <c:spPr>
            <a:solidFill>
              <a:srgbClr val="9999FF"/>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YT_ALL!$B$17:$G$17</c:f>
              <c:numCache>
                <c:formatCode>dd\.mm\.yyyy;@</c:formatCode>
                <c:ptCount val="6"/>
                <c:pt idx="0">
                  <c:v>44561</c:v>
                </c:pt>
                <c:pt idx="1">
                  <c:v>44926</c:v>
                </c:pt>
                <c:pt idx="2">
                  <c:v>45291</c:v>
                </c:pt>
                <c:pt idx="3">
                  <c:v>45657</c:v>
                </c:pt>
                <c:pt idx="4">
                  <c:v>46022</c:v>
                </c:pt>
                <c:pt idx="5">
                  <c:v>46265</c:v>
                </c:pt>
              </c:numCache>
            </c:numRef>
          </c:cat>
          <c:val>
            <c:numRef>
              <c:f>YT_ALL!$B$19:$G$19</c:f>
              <c:numCache>
                <c:formatCode>0.00%</c:formatCode>
                <c:ptCount val="6"/>
                <c:pt idx="0">
                  <c:v>0.41600799999999999</c:v>
                </c:pt>
                <c:pt idx="1">
                  <c:v>0.35869600000000001</c:v>
                </c:pt>
                <c:pt idx="2">
                  <c:v>0.30010999999999999</c:v>
                </c:pt>
                <c:pt idx="3">
                  <c:v>0.27682200000000001</c:v>
                </c:pt>
                <c:pt idx="4">
                  <c:v>0.224657</c:v>
                </c:pt>
                <c:pt idx="5">
                  <c:v>0.215058</c:v>
                </c:pt>
              </c:numCache>
            </c:numRef>
          </c:val>
          <c:extLst>
            <c:ext xmlns:c16="http://schemas.microsoft.com/office/drawing/2014/chart" uri="{C3380CC4-5D6E-409C-BE32-E72D297353CC}">
              <c16:uniqueId val="{00000000-21F2-4458-8A41-6685D1D0CC2D}"/>
            </c:ext>
          </c:extLst>
        </c:ser>
        <c:ser>
          <c:idx val="1"/>
          <c:order val="1"/>
          <c:tx>
            <c:strRef>
              <c:f>YT_ALL!$A$20</c:f>
              <c:strCache>
                <c:ptCount val="1"/>
                <c:pt idx="0">
                  <c:v>Зовнішній борг</c:v>
                </c:pt>
              </c:strCache>
            </c:strRef>
          </c:tx>
          <c:spPr>
            <a:solidFill>
              <a:srgbClr val="993366"/>
            </a:solidFill>
            <a:ln w="12700">
              <a:solidFill>
                <a:srgbClr val="000000"/>
              </a:solidFill>
              <a:prstDash val="solid"/>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YT_ALL!$B$17:$G$17</c:f>
              <c:numCache>
                <c:formatCode>dd\.mm\.yyyy;@</c:formatCode>
                <c:ptCount val="6"/>
                <c:pt idx="0">
                  <c:v>44561</c:v>
                </c:pt>
                <c:pt idx="1">
                  <c:v>44926</c:v>
                </c:pt>
                <c:pt idx="2">
                  <c:v>45291</c:v>
                </c:pt>
                <c:pt idx="3">
                  <c:v>45657</c:v>
                </c:pt>
                <c:pt idx="4">
                  <c:v>46022</c:v>
                </c:pt>
                <c:pt idx="5">
                  <c:v>46265</c:v>
                </c:pt>
              </c:numCache>
            </c:numRef>
          </c:cat>
          <c:val>
            <c:numRef>
              <c:f>YT_ALL!$B$20:$G$20</c:f>
              <c:numCache>
                <c:formatCode>0.00%</c:formatCode>
                <c:ptCount val="6"/>
                <c:pt idx="0">
                  <c:v>0.58399199999999996</c:v>
                </c:pt>
                <c:pt idx="1">
                  <c:v>0.64130399999999999</c:v>
                </c:pt>
                <c:pt idx="2">
                  <c:v>0.69989000000000001</c:v>
                </c:pt>
                <c:pt idx="3">
                  <c:v>0.72317799999999999</c:v>
                </c:pt>
                <c:pt idx="4">
                  <c:v>0.775343</c:v>
                </c:pt>
                <c:pt idx="5">
                  <c:v>0.78494200000000003</c:v>
                </c:pt>
              </c:numCache>
            </c:numRef>
          </c:val>
          <c:extLst>
            <c:ext xmlns:c16="http://schemas.microsoft.com/office/drawing/2014/chart" uri="{C3380CC4-5D6E-409C-BE32-E72D297353CC}">
              <c16:uniqueId val="{00000001-21F2-4458-8A41-6685D1D0CC2D}"/>
            </c:ext>
          </c:extLst>
        </c:ser>
        <c:dLbls>
          <c:showLegendKey val="0"/>
          <c:showVal val="1"/>
          <c:showCatName val="0"/>
          <c:showSerName val="0"/>
          <c:showPercent val="0"/>
          <c:showBubbleSize val="0"/>
        </c:dLbls>
        <c:gapWidth val="150"/>
        <c:shape val="box"/>
        <c:axId val="109305856"/>
        <c:axId val="109307392"/>
        <c:axId val="0"/>
      </c:bar3DChart>
      <c:dateAx>
        <c:axId val="109305856"/>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307392"/>
        <c:crosses val="autoZero"/>
        <c:auto val="1"/>
        <c:lblOffset val="100"/>
        <c:baseTimeUnit val="years"/>
        <c:majorUnit val="1"/>
        <c:majorTimeUnit val="years"/>
        <c:minorUnit val="1"/>
        <c:minorTimeUnit val="years"/>
      </c:dateAx>
      <c:valAx>
        <c:axId val="109307392"/>
        <c:scaling>
          <c:orientation val="minMax"/>
        </c:scaling>
        <c:delete val="0"/>
        <c:axPos val="l"/>
        <c:majorGridlines>
          <c:spPr>
            <a:ln w="3175">
              <a:solidFill>
                <a:srgbClr val="000000"/>
              </a:solidFill>
              <a:prstDash val="solid"/>
            </a:ln>
          </c:spPr>
        </c:majorGridlines>
        <c:numFmt formatCode="0.0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Cyr"/>
                <a:ea typeface="Arial Cyr"/>
                <a:cs typeface="Arial Cyr"/>
              </a:defRPr>
            </a:pPr>
            <a:endParaRPr lang="uk-UA"/>
          </a:p>
        </c:txPr>
        <c:crossAx val="109305856"/>
        <c:crosses val="autoZero"/>
        <c:crossBetween val="between"/>
      </c:valAx>
      <c:spPr>
        <a:noFill/>
        <a:ln w="25400">
          <a:noFill/>
        </a:ln>
      </c:spPr>
    </c:plotArea>
    <c:legend>
      <c:legendPos val="r"/>
      <c:layout>
        <c:manualLayout>
          <c:xMode val="edge"/>
          <c:yMode val="edge"/>
          <c:x val="0.82128095932165668"/>
          <c:y val="8.9678688641077212E-2"/>
          <c:w val="0.11983475695320922"/>
          <c:h val="7.2758037225042302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[0]!DEBT_LAST_5_YEARS_UAH</c:f>
          <c:strCache>
            <c:ptCount val="1"/>
            <c:pt idx="0">
              <c:v>Державний та гарантований державою борг України за останні 5 років
(млрд. грн)</c:v>
            </c:pt>
          </c:strCache>
        </c:strRef>
      </c:tx>
      <c:layout>
        <c:manualLayout>
          <c:xMode val="edge"/>
          <c:yMode val="edge"/>
          <c:x val="0.22605363984674329"/>
          <c:y val="1.940298507462686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5019157088122604E-2"/>
          <c:y val="0.12835820895522387"/>
          <c:w val="0.95498084291187735"/>
          <c:h val="0.80597014925373134"/>
        </c:manualLayout>
      </c:layout>
      <c:bar3DChart>
        <c:barDir val="col"/>
        <c:grouping val="clustered"/>
        <c:varyColors val="0"/>
        <c:ser>
          <c:idx val="2"/>
          <c:order val="0"/>
          <c:tx>
            <c:strRef>
              <c:f>YTM_ALL!$A$6</c:f>
              <c:strCache>
                <c:ptCount val="1"/>
                <c:pt idx="0">
                  <c:v>Загальна сума державного та гарантованого державою боргу</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ln w="9525" cap="flat" cmpd="sng">
                      <a:noFill/>
                      <a:round/>
                    </a:ln>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46265</c:v>
                </c:pt>
              </c:numCache>
            </c:numRef>
          </c:cat>
          <c:val>
            <c:numRef>
              <c:f>YTM_ALL!$B$6:$G$6</c:f>
              <c:numCache>
                <c:formatCode>#\ ##0.00;\-#\ ##0.00;</c:formatCode>
                <c:ptCount val="6"/>
                <c:pt idx="0">
                  <c:v>2672.0600203157701</c:v>
                </c:pt>
                <c:pt idx="1">
                  <c:v>4075.5678381492698</c:v>
                </c:pt>
                <c:pt idx="2">
                  <c:v>5519.6354586101497</c:v>
                </c:pt>
                <c:pt idx="3">
                  <c:v>6980.98588524558</c:v>
                </c:pt>
                <c:pt idx="4">
                  <c:v>9042.6770279453904</c:v>
                </c:pt>
                <c:pt idx="5">
                  <c:v>9602.8930637009689</c:v>
                </c:pt>
              </c:numCache>
            </c:numRef>
          </c:val>
          <c:extLst>
            <c:ext xmlns:c16="http://schemas.microsoft.com/office/drawing/2014/chart" uri="{C3380CC4-5D6E-409C-BE32-E72D297353CC}">
              <c16:uniqueId val="{00000006-E318-4BAB-AF3C-69F01AFA7A79}"/>
            </c:ext>
          </c:extLst>
        </c:ser>
        <c:ser>
          <c:idx val="1"/>
          <c:order val="1"/>
          <c:tx>
            <c:strRef>
              <c:f>YTM_ALL!$A$7</c:f>
              <c:strCache>
                <c:ptCount val="1"/>
                <c:pt idx="0">
                  <c:v>Внутрішній борг</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46265</c:v>
                </c:pt>
              </c:numCache>
            </c:numRef>
          </c:cat>
          <c:val>
            <c:numRef>
              <c:f>YTM_ALL!$B$7:$G$7</c:f>
              <c:numCache>
                <c:formatCode>#,##0.00</c:formatCode>
                <c:ptCount val="6"/>
                <c:pt idx="0">
                  <c:v>1111.59786125906</c:v>
                </c:pt>
                <c:pt idx="1">
                  <c:v>1461.888183668</c:v>
                </c:pt>
                <c:pt idx="2">
                  <c:v>1656.49630379928</c:v>
                </c:pt>
                <c:pt idx="3">
                  <c:v>1932.48958136344</c:v>
                </c:pt>
                <c:pt idx="4">
                  <c:v>2031.50200194128</c:v>
                </c:pt>
                <c:pt idx="5">
                  <c:v>2065.1785177859101</c:v>
                </c:pt>
              </c:numCache>
            </c:numRef>
          </c:val>
          <c:extLst>
            <c:ext xmlns:c16="http://schemas.microsoft.com/office/drawing/2014/chart" uri="{C3380CC4-5D6E-409C-BE32-E72D297353CC}">
              <c16:uniqueId val="{0000000D-E318-4BAB-AF3C-69F01AFA7A79}"/>
            </c:ext>
          </c:extLst>
        </c:ser>
        <c:ser>
          <c:idx val="0"/>
          <c:order val="2"/>
          <c:tx>
            <c:strRef>
              <c:f>YTM_ALL!$A$8</c:f>
              <c:strCache>
                <c:ptCount val="1"/>
                <c:pt idx="0">
                  <c:v>Зовнішній борг</c:v>
                </c:pt>
              </c:strCache>
            </c:strRef>
          </c:tx>
          <c:spPr>
            <a:solidFill>
              <a:srgbClr val="CCFFCC"/>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YTM_ALL!$B$5:$G$5</c:f>
              <c:numCache>
                <c:formatCode>dd\.mm\.yyyy;@</c:formatCode>
                <c:ptCount val="6"/>
                <c:pt idx="0">
                  <c:v>44561</c:v>
                </c:pt>
                <c:pt idx="1">
                  <c:v>44926</c:v>
                </c:pt>
                <c:pt idx="2">
                  <c:v>45291</c:v>
                </c:pt>
                <c:pt idx="3">
                  <c:v>45657</c:v>
                </c:pt>
                <c:pt idx="4">
                  <c:v>46022</c:v>
                </c:pt>
                <c:pt idx="5">
                  <c:v>46265</c:v>
                </c:pt>
              </c:numCache>
            </c:numRef>
          </c:cat>
          <c:val>
            <c:numRef>
              <c:f>YTM_ALL!$B$8:$G$8</c:f>
              <c:numCache>
                <c:formatCode>#,##0.00</c:formatCode>
                <c:ptCount val="6"/>
                <c:pt idx="0">
                  <c:v>1560.4621590567101</c:v>
                </c:pt>
                <c:pt idx="1">
                  <c:v>2613.6796544812701</c:v>
                </c:pt>
                <c:pt idx="2">
                  <c:v>3863.13915481087</c:v>
                </c:pt>
                <c:pt idx="3">
                  <c:v>5048.4963038821397</c:v>
                </c:pt>
                <c:pt idx="4">
                  <c:v>7011.1750260041099</c:v>
                </c:pt>
                <c:pt idx="5">
                  <c:v>7537.7145459150597</c:v>
                </c:pt>
              </c:numCache>
            </c:numRef>
          </c:val>
          <c:extLst>
            <c:ext xmlns:c16="http://schemas.microsoft.com/office/drawing/2014/chart" uri="{C3380CC4-5D6E-409C-BE32-E72D297353CC}">
              <c16:uniqueId val="{00000014-E318-4BAB-AF3C-69F01AFA7A79}"/>
            </c:ext>
          </c:extLst>
        </c:ser>
        <c:dLbls>
          <c:showLegendKey val="0"/>
          <c:showVal val="1"/>
          <c:showCatName val="0"/>
          <c:showSerName val="0"/>
          <c:showPercent val="0"/>
          <c:showBubbleSize val="0"/>
        </c:dLbls>
        <c:gapWidth val="150"/>
        <c:shape val="box"/>
        <c:axId val="108886272"/>
        <c:axId val="108904448"/>
        <c:axId val="0"/>
      </c:bar3DChart>
      <c:dateAx>
        <c:axId val="1088862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904448"/>
        <c:crosses val="autoZero"/>
        <c:auto val="1"/>
        <c:lblOffset val="100"/>
        <c:baseTimeUnit val="years"/>
        <c:majorUnit val="1"/>
        <c:majorTimeUnit val="years"/>
        <c:minorUnit val="1"/>
        <c:minorTimeUnit val="years"/>
      </c:dateAx>
      <c:valAx>
        <c:axId val="108904448"/>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886272"/>
        <c:crosses val="autoZero"/>
        <c:crossBetween val="between"/>
      </c:valAx>
      <c:spPr>
        <a:noFill/>
        <a:ln w="25400">
          <a:noFill/>
        </a:ln>
      </c:spPr>
    </c:plotArea>
    <c:legend>
      <c:legendPos val="r"/>
      <c:layout>
        <c:manualLayout>
          <c:xMode val="edge"/>
          <c:yMode val="edge"/>
          <c:x val="0.12496667851654063"/>
          <c:y val="0.10399377316791178"/>
          <c:w val="0.1954022988505747"/>
          <c:h val="0.16119402985074627"/>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[0]!DEBT_LAST_5_YEARS_USD</c:f>
          <c:strCache>
            <c:ptCount val="1"/>
            <c:pt idx="0">
              <c:v>Державний та гарантований державою борг України за останні 5 років
(млрд. дол. США)</c:v>
            </c:pt>
          </c:strCache>
        </c:strRef>
      </c:tx>
      <c:layout>
        <c:manualLayout>
          <c:xMode val="edge"/>
          <c:yMode val="edge"/>
          <c:x val="0.22792022792022792"/>
          <c:y val="1.928783382789317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6"/>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653371320037987E-2"/>
          <c:y val="0.12759643916913946"/>
          <c:w val="0.93637226970560306"/>
          <c:h val="0.8086053412462908"/>
        </c:manualLayout>
      </c:layout>
      <c:bar3DChart>
        <c:barDir val="col"/>
        <c:grouping val="clustered"/>
        <c:varyColors val="0"/>
        <c:ser>
          <c:idx val="2"/>
          <c:order val="0"/>
          <c:tx>
            <c:strRef>
              <c:f>YTM_ALL!$A$12</c:f>
              <c:strCache>
                <c:ptCount val="1"/>
                <c:pt idx="0">
                  <c:v>Загальна сума державного та гарантованого державою боргу</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46265</c:v>
                </c:pt>
              </c:numCache>
            </c:numRef>
          </c:cat>
          <c:val>
            <c:numRef>
              <c:f>YTM_ALL!$B$12:$G$12</c:f>
              <c:numCache>
                <c:formatCode>#\ ##0.00;\-#\ ##0.00;</c:formatCode>
                <c:ptCount val="6"/>
                <c:pt idx="0">
                  <c:v>97.955877598960001</c:v>
                </c:pt>
                <c:pt idx="1">
                  <c:v>111.44992803011999</c:v>
                </c:pt>
                <c:pt idx="2">
                  <c:v>145.32087120892999</c:v>
                </c:pt>
                <c:pt idx="3">
                  <c:v>166.05975130832002</c:v>
                </c:pt>
                <c:pt idx="4">
                  <c:v>213.33206790509001</c:v>
                </c:pt>
                <c:pt idx="5">
                  <c:v>215.55073598984998</c:v>
                </c:pt>
              </c:numCache>
            </c:numRef>
          </c:val>
          <c:extLst>
            <c:ext xmlns:c16="http://schemas.microsoft.com/office/drawing/2014/chart" uri="{C3380CC4-5D6E-409C-BE32-E72D297353CC}">
              <c16:uniqueId val="{00000006-AE8D-4AD5-AB06-89A87E105B63}"/>
            </c:ext>
          </c:extLst>
        </c:ser>
        <c:ser>
          <c:idx val="1"/>
          <c:order val="1"/>
          <c:tx>
            <c:strRef>
              <c:f>YTM_ALL!$A$13</c:f>
              <c:strCache>
                <c:ptCount val="1"/>
                <c:pt idx="0">
                  <c:v>Внутрішній борг</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46265</c:v>
                </c:pt>
              </c:numCache>
            </c:numRef>
          </c:cat>
          <c:val>
            <c:numRef>
              <c:f>YTM_ALL!$B$13:$G$13</c:f>
              <c:numCache>
                <c:formatCode>#,##0.00</c:formatCode>
                <c:ptCount val="6"/>
                <c:pt idx="0">
                  <c:v>40.750410997160003</c:v>
                </c:pt>
                <c:pt idx="1">
                  <c:v>39.976596962419997</c:v>
                </c:pt>
                <c:pt idx="2">
                  <c:v>43.612207332799997</c:v>
                </c:pt>
                <c:pt idx="3">
                  <c:v>45.968971226080001</c:v>
                </c:pt>
                <c:pt idx="4">
                  <c:v>47.926573257919998</c:v>
                </c:pt>
                <c:pt idx="5">
                  <c:v>46.355899884369997</c:v>
                </c:pt>
              </c:numCache>
            </c:numRef>
          </c:val>
          <c:extLst>
            <c:ext xmlns:c16="http://schemas.microsoft.com/office/drawing/2014/chart" uri="{C3380CC4-5D6E-409C-BE32-E72D297353CC}">
              <c16:uniqueId val="{0000000D-AE8D-4AD5-AB06-89A87E105B63}"/>
            </c:ext>
          </c:extLst>
        </c:ser>
        <c:ser>
          <c:idx val="0"/>
          <c:order val="2"/>
          <c:tx>
            <c:strRef>
              <c:f>YTM_ALL!$A$14</c:f>
              <c:strCache>
                <c:ptCount val="1"/>
                <c:pt idx="0">
                  <c:v>Зовнішній борг</c:v>
                </c:pt>
              </c:strCache>
            </c:strRef>
          </c:tx>
          <c:spPr>
            <a:solidFill>
              <a:srgbClr val="9999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YTM_ALL!$B$11:$G$11</c:f>
              <c:numCache>
                <c:formatCode>dd\.mm\.yyyy;@</c:formatCode>
                <c:ptCount val="6"/>
                <c:pt idx="0">
                  <c:v>44561</c:v>
                </c:pt>
                <c:pt idx="1">
                  <c:v>44926</c:v>
                </c:pt>
                <c:pt idx="2">
                  <c:v>45291</c:v>
                </c:pt>
                <c:pt idx="3">
                  <c:v>45657</c:v>
                </c:pt>
                <c:pt idx="4">
                  <c:v>46022</c:v>
                </c:pt>
                <c:pt idx="5">
                  <c:v>46265</c:v>
                </c:pt>
              </c:numCache>
            </c:numRef>
          </c:cat>
          <c:val>
            <c:numRef>
              <c:f>YTM_ALL!$B$14:$G$14</c:f>
              <c:numCache>
                <c:formatCode>#,##0.00</c:formatCode>
                <c:ptCount val="6"/>
                <c:pt idx="0">
                  <c:v>57.205466601799998</c:v>
                </c:pt>
                <c:pt idx="1">
                  <c:v>71.473331067700002</c:v>
                </c:pt>
                <c:pt idx="2">
                  <c:v>101.70866387613</c:v>
                </c:pt>
                <c:pt idx="3">
                  <c:v>120.09078008224</c:v>
                </c:pt>
                <c:pt idx="4">
                  <c:v>165.40549464717</c:v>
                </c:pt>
                <c:pt idx="5">
                  <c:v>169.19483610547999</c:v>
                </c:pt>
              </c:numCache>
            </c:numRef>
          </c:val>
          <c:extLst>
            <c:ext xmlns:c16="http://schemas.microsoft.com/office/drawing/2014/chart" uri="{C3380CC4-5D6E-409C-BE32-E72D297353CC}">
              <c16:uniqueId val="{0000000E-AE8D-4AD5-AB06-89A87E105B63}"/>
            </c:ext>
          </c:extLst>
        </c:ser>
        <c:dLbls>
          <c:showLegendKey val="0"/>
          <c:showVal val="1"/>
          <c:showCatName val="0"/>
          <c:showSerName val="0"/>
          <c:showPercent val="0"/>
          <c:showBubbleSize val="0"/>
        </c:dLbls>
        <c:gapWidth val="150"/>
        <c:shape val="box"/>
        <c:axId val="109555072"/>
        <c:axId val="109565056"/>
        <c:axId val="0"/>
      </c:bar3DChart>
      <c:dateAx>
        <c:axId val="1095550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65056"/>
        <c:crosses val="autoZero"/>
        <c:auto val="1"/>
        <c:lblOffset val="100"/>
        <c:baseTimeUnit val="years"/>
        <c:majorUnit val="1"/>
        <c:majorTimeUnit val="years"/>
        <c:minorUnit val="1"/>
        <c:minorTimeUnit val="years"/>
      </c:dateAx>
      <c:valAx>
        <c:axId val="109565056"/>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55072"/>
        <c:crosses val="autoZero"/>
        <c:crossBetween val="between"/>
      </c:valAx>
      <c:spPr>
        <a:noFill/>
        <a:ln w="25400">
          <a:noFill/>
        </a:ln>
      </c:spPr>
    </c:plotArea>
    <c:legend>
      <c:legendPos val="r"/>
      <c:layout>
        <c:manualLayout>
          <c:xMode val="edge"/>
          <c:yMode val="edge"/>
          <c:x val="0.75593542260208924"/>
          <c:y val="5.637982195845697E-2"/>
          <c:w val="0.20892687559354228"/>
          <c:h val="0.154302670623145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[0]!DEBT_LAST_5_YEARS_UAH</c:f>
          <c:strCache>
            <c:ptCount val="1"/>
            <c:pt idx="0">
              <c:v>Державний та гарантований державою борг України за останні 5 років
(млрд. грн)</c:v>
            </c:pt>
          </c:strCache>
        </c:strRef>
      </c:tx>
      <c:layout>
        <c:manualLayout>
          <c:xMode val="edge"/>
          <c:yMode val="edge"/>
          <c:x val="0.22605363984674329"/>
          <c:y val="1.940298507462686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5"/>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5019157088122604E-2"/>
          <c:y val="0.12835820895522387"/>
          <c:w val="0.95498084291187735"/>
          <c:h val="0.80597014925373134"/>
        </c:manualLayout>
      </c:layout>
      <c:bar3DChart>
        <c:barDir val="col"/>
        <c:grouping val="clustered"/>
        <c:varyColors val="0"/>
        <c:ser>
          <c:idx val="2"/>
          <c:order val="0"/>
          <c:tx>
            <c:strRef>
              <c:f>YKM_ALL!$A$6</c:f>
              <c:strCache>
                <c:ptCount val="1"/>
                <c:pt idx="0">
                  <c:v>Загальна сума державного та гарантованого державою боргу</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ln w="9525" cap="flat" cmpd="sng">
                      <a:noFill/>
                      <a:round/>
                    </a:ln>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46265</c:v>
                </c:pt>
              </c:numCache>
            </c:numRef>
          </c:cat>
          <c:val>
            <c:numRef>
              <c:f>YKM_ALL!$B$6:$G$6</c:f>
              <c:numCache>
                <c:formatCode>#\ ##0.00;\-#\ ##0.00;</c:formatCode>
                <c:ptCount val="6"/>
                <c:pt idx="0">
                  <c:v>2672.0600203157701</c:v>
                </c:pt>
                <c:pt idx="1">
                  <c:v>4075.5678381492698</c:v>
                </c:pt>
                <c:pt idx="2">
                  <c:v>5519.6354586101497</c:v>
                </c:pt>
                <c:pt idx="3">
                  <c:v>6980.98588524558</c:v>
                </c:pt>
                <c:pt idx="4">
                  <c:v>9042.6770279453904</c:v>
                </c:pt>
                <c:pt idx="5">
                  <c:v>9602.8930637009707</c:v>
                </c:pt>
              </c:numCache>
            </c:numRef>
          </c:val>
          <c:extLst>
            <c:ext xmlns:c16="http://schemas.microsoft.com/office/drawing/2014/chart" uri="{C3380CC4-5D6E-409C-BE32-E72D297353CC}">
              <c16:uniqueId val="{00000007-33D5-43C8-9838-FD3AC6D95DEB}"/>
            </c:ext>
          </c:extLst>
        </c:ser>
        <c:ser>
          <c:idx val="1"/>
          <c:order val="1"/>
          <c:tx>
            <c:strRef>
              <c:f>YKM_ALL!$A$7</c:f>
              <c:strCache>
                <c:ptCount val="1"/>
                <c:pt idx="0">
                  <c:v>Державний борг</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46265</c:v>
                </c:pt>
              </c:numCache>
            </c:numRef>
          </c:cat>
          <c:val>
            <c:numRef>
              <c:f>YKM_ALL!$B$7:$G$7</c:f>
              <c:numCache>
                <c:formatCode>#,##0.00</c:formatCode>
                <c:ptCount val="6"/>
                <c:pt idx="0">
                  <c:v>2362.7201507571899</c:v>
                </c:pt>
                <c:pt idx="1">
                  <c:v>3715.1336317660898</c:v>
                </c:pt>
                <c:pt idx="2">
                  <c:v>5188.0907415274296</c:v>
                </c:pt>
                <c:pt idx="3">
                  <c:v>6692.4747759279699</c:v>
                </c:pt>
                <c:pt idx="4">
                  <c:v>8765.9940256002701</c:v>
                </c:pt>
                <c:pt idx="5">
                  <c:v>9345.0806751427208</c:v>
                </c:pt>
              </c:numCache>
            </c:numRef>
          </c:val>
          <c:extLst>
            <c:ext xmlns:c16="http://schemas.microsoft.com/office/drawing/2014/chart" uri="{C3380CC4-5D6E-409C-BE32-E72D297353CC}">
              <c16:uniqueId val="{00000009-33D5-43C8-9838-FD3AC6D95DEB}"/>
            </c:ext>
          </c:extLst>
        </c:ser>
        <c:ser>
          <c:idx val="0"/>
          <c:order val="2"/>
          <c:tx>
            <c:strRef>
              <c:f>YKM_ALL!$A$8</c:f>
              <c:strCache>
                <c:ptCount val="1"/>
                <c:pt idx="0">
                  <c:v>Гарантований державою борг</c:v>
                </c:pt>
              </c:strCache>
            </c:strRef>
          </c:tx>
          <c:spPr>
            <a:solidFill>
              <a:srgbClr val="CCFFCC"/>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YKM_ALL!$B$5:$G$5</c:f>
              <c:numCache>
                <c:formatCode>dd\.mm\.yyyy;@</c:formatCode>
                <c:ptCount val="6"/>
                <c:pt idx="0">
                  <c:v>44561</c:v>
                </c:pt>
                <c:pt idx="1">
                  <c:v>44926</c:v>
                </c:pt>
                <c:pt idx="2">
                  <c:v>45291</c:v>
                </c:pt>
                <c:pt idx="3">
                  <c:v>45657</c:v>
                </c:pt>
                <c:pt idx="4">
                  <c:v>46022</c:v>
                </c:pt>
                <c:pt idx="5">
                  <c:v>46265</c:v>
                </c:pt>
              </c:numCache>
            </c:numRef>
          </c:cat>
          <c:val>
            <c:numRef>
              <c:f>YKM_ALL!$B$8:$G$8</c:f>
              <c:numCache>
                <c:formatCode>#,##0.00</c:formatCode>
                <c:ptCount val="6"/>
                <c:pt idx="0">
                  <c:v>309.33986955858001</c:v>
                </c:pt>
                <c:pt idx="1">
                  <c:v>360.43420638318003</c:v>
                </c:pt>
                <c:pt idx="2">
                  <c:v>331.54471708272001</c:v>
                </c:pt>
                <c:pt idx="3">
                  <c:v>288.51110931761002</c:v>
                </c:pt>
                <c:pt idx="4">
                  <c:v>276.68300234511997</c:v>
                </c:pt>
                <c:pt idx="5">
                  <c:v>257.81238855825001</c:v>
                </c:pt>
              </c:numCache>
            </c:numRef>
          </c:val>
          <c:extLst>
            <c:ext xmlns:c16="http://schemas.microsoft.com/office/drawing/2014/chart" uri="{C3380CC4-5D6E-409C-BE32-E72D297353CC}">
              <c16:uniqueId val="{0000000B-33D5-43C8-9838-FD3AC6D95DEB}"/>
            </c:ext>
          </c:extLst>
        </c:ser>
        <c:dLbls>
          <c:showLegendKey val="0"/>
          <c:showVal val="1"/>
          <c:showCatName val="0"/>
          <c:showSerName val="0"/>
          <c:showPercent val="0"/>
          <c:showBubbleSize val="0"/>
        </c:dLbls>
        <c:gapWidth val="150"/>
        <c:shape val="box"/>
        <c:axId val="108886272"/>
        <c:axId val="108904448"/>
        <c:axId val="0"/>
      </c:bar3DChart>
      <c:dateAx>
        <c:axId val="1088862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904448"/>
        <c:crosses val="autoZero"/>
        <c:auto val="1"/>
        <c:lblOffset val="100"/>
        <c:baseTimeUnit val="years"/>
        <c:majorUnit val="1"/>
        <c:majorTimeUnit val="years"/>
        <c:minorUnit val="1"/>
        <c:minorTimeUnit val="years"/>
      </c:dateAx>
      <c:valAx>
        <c:axId val="108904448"/>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Cyr"/>
                <a:ea typeface="Arial Cyr"/>
                <a:cs typeface="Arial Cyr"/>
              </a:defRPr>
            </a:pPr>
            <a:endParaRPr lang="uk-UA"/>
          </a:p>
        </c:txPr>
        <c:crossAx val="108886272"/>
        <c:crosses val="autoZero"/>
        <c:crossBetween val="between"/>
      </c:valAx>
      <c:spPr>
        <a:noFill/>
        <a:ln w="25400">
          <a:noFill/>
        </a:ln>
      </c:spPr>
    </c:plotArea>
    <c:legend>
      <c:legendPos val="r"/>
      <c:layout>
        <c:manualLayout>
          <c:xMode val="edge"/>
          <c:yMode val="edge"/>
          <c:x val="0.12496667851654063"/>
          <c:y val="0.10399377316791178"/>
          <c:w val="0.1954022988505747"/>
          <c:h val="0.16119402985074627"/>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[0]!DEBT_LAST_5_YEARS_USD</c:f>
          <c:strCache>
            <c:ptCount val="1"/>
            <c:pt idx="0">
              <c:v>Державний та гарантований державою борг України за останні 5 років
(млрд. дол. США)</c:v>
            </c:pt>
          </c:strCache>
        </c:strRef>
      </c:tx>
      <c:layout>
        <c:manualLayout>
          <c:xMode val="edge"/>
          <c:yMode val="edge"/>
          <c:x val="0.22792022792022792"/>
          <c:y val="1.9287833827893175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hPercent val="56"/>
      <c:rotY val="20"/>
      <c:depthPercent val="100"/>
      <c:rAngAx val="1"/>
    </c:view3D>
    <c:floor>
      <c:thickness val="0"/>
      <c:spPr>
        <a:solidFill>
          <a:srgbClr val="C0C0C0"/>
        </a:solidFill>
        <a:ln w="3175">
          <a:solidFill>
            <a:srgbClr val="000000"/>
          </a:solidFill>
          <a:prstDash val="solid"/>
        </a:ln>
      </c:spPr>
    </c:floor>
    <c:sideWall>
      <c:thickness val="0"/>
      <c:spPr>
        <a:noFill/>
        <a:ln w="12700">
          <a:solidFill>
            <a:srgbClr val="808080"/>
          </a:solidFill>
          <a:prstDash val="solid"/>
        </a:ln>
      </c:spPr>
    </c:sideWall>
    <c:backWall>
      <c:thickness val="0"/>
      <c:spPr>
        <a:noFill/>
        <a:ln w="12700">
          <a:solidFill>
            <a:srgbClr val="808080"/>
          </a:solidFill>
          <a:prstDash val="solid"/>
        </a:ln>
      </c:spPr>
    </c:backWall>
    <c:plotArea>
      <c:layout>
        <c:manualLayout>
          <c:layoutTarget val="inner"/>
          <c:xMode val="edge"/>
          <c:yMode val="edge"/>
          <c:x val="4.653371320037987E-2"/>
          <c:y val="0.12759643916913946"/>
          <c:w val="0.93637226970560306"/>
          <c:h val="0.8086053412462908"/>
        </c:manualLayout>
      </c:layout>
      <c:bar3DChart>
        <c:barDir val="col"/>
        <c:grouping val="clustered"/>
        <c:varyColors val="0"/>
        <c:ser>
          <c:idx val="2"/>
          <c:order val="0"/>
          <c:tx>
            <c:strRef>
              <c:f>YKM_ALL!$A$12</c:f>
              <c:strCache>
                <c:ptCount val="1"/>
                <c:pt idx="0">
                  <c:v>Загальна сума державного та гарантованого державою боргу</c:v>
                </c:pt>
              </c:strCache>
            </c:strRef>
          </c:tx>
          <c:spPr>
            <a:solidFill>
              <a:srgbClr val="FFFF99"/>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46265</c:v>
                </c:pt>
              </c:numCache>
            </c:numRef>
          </c:cat>
          <c:val>
            <c:numRef>
              <c:f>YKM_ALL!$B$12:$G$12</c:f>
              <c:numCache>
                <c:formatCode>#\ ##0.00;\-#\ ##0.00;</c:formatCode>
                <c:ptCount val="6"/>
                <c:pt idx="0">
                  <c:v>97.955877598960001</c:v>
                </c:pt>
                <c:pt idx="1">
                  <c:v>111.44992803012001</c:v>
                </c:pt>
                <c:pt idx="2">
                  <c:v>145.32087120892999</c:v>
                </c:pt>
                <c:pt idx="3">
                  <c:v>166.05975130831999</c:v>
                </c:pt>
                <c:pt idx="4">
                  <c:v>213.33206790508999</c:v>
                </c:pt>
                <c:pt idx="5">
                  <c:v>215.55073598984998</c:v>
                </c:pt>
              </c:numCache>
            </c:numRef>
          </c:val>
          <c:extLst>
            <c:ext xmlns:c16="http://schemas.microsoft.com/office/drawing/2014/chart" uri="{C3380CC4-5D6E-409C-BE32-E72D297353CC}">
              <c16:uniqueId val="{00000007-5C46-4940-95C0-CAAA1399442C}"/>
            </c:ext>
          </c:extLst>
        </c:ser>
        <c:ser>
          <c:idx val="1"/>
          <c:order val="1"/>
          <c:tx>
            <c:strRef>
              <c:f>YKM_ALL!$A$13</c:f>
              <c:strCache>
                <c:ptCount val="1"/>
                <c:pt idx="0">
                  <c:v>Державний борг</c:v>
                </c:pt>
              </c:strCache>
            </c:strRef>
          </c:tx>
          <c:spPr>
            <a:solidFill>
              <a:srgbClr val="00CC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46265</c:v>
                </c:pt>
              </c:numCache>
            </c:numRef>
          </c:cat>
          <c:val>
            <c:numRef>
              <c:f>YKM_ALL!$B$13:$G$13</c:f>
              <c:numCache>
                <c:formatCode>#,##0.00</c:formatCode>
                <c:ptCount val="6"/>
                <c:pt idx="0">
                  <c:v>86.615691312519999</c:v>
                </c:pt>
                <c:pt idx="1">
                  <c:v>101.59354286955001</c:v>
                </c:pt>
                <c:pt idx="2">
                  <c:v>136.59196737238</c:v>
                </c:pt>
                <c:pt idx="3">
                  <c:v>159.19681191119</c:v>
                </c:pt>
                <c:pt idx="4">
                  <c:v>206.80464722402999</c:v>
                </c:pt>
                <c:pt idx="5">
                  <c:v>209.76376640346999</c:v>
                </c:pt>
              </c:numCache>
            </c:numRef>
          </c:val>
          <c:extLst>
            <c:ext xmlns:c16="http://schemas.microsoft.com/office/drawing/2014/chart" uri="{C3380CC4-5D6E-409C-BE32-E72D297353CC}">
              <c16:uniqueId val="{00000009-5C46-4940-95C0-CAAA1399442C}"/>
            </c:ext>
          </c:extLst>
        </c:ser>
        <c:ser>
          <c:idx val="0"/>
          <c:order val="2"/>
          <c:tx>
            <c:strRef>
              <c:f>YKM_ALL!$A$14</c:f>
              <c:strCache>
                <c:ptCount val="1"/>
                <c:pt idx="0">
                  <c:v>Гарантований державою борг</c:v>
                </c:pt>
              </c:strCache>
            </c:strRef>
          </c:tx>
          <c:spPr>
            <a:solidFill>
              <a:srgbClr val="9999FF"/>
            </a:solidFill>
            <a:ln w="12700">
              <a:solidFill>
                <a:srgbClr val="000000"/>
              </a:solidFill>
              <a:prstDash val="solid"/>
            </a:ln>
          </c:spPr>
          <c:invertIfNegative val="0"/>
          <c:dLbls>
            <c:spPr>
              <a:noFill/>
              <a:ln>
                <a:noFill/>
              </a:ln>
              <a:effectLst/>
            </c:spPr>
            <c:txPr>
              <a:bodyPr wrap="square" lIns="38100" tIns="19050" rIns="38100" bIns="19050" anchor="ctr">
                <a:spAutoFit/>
              </a:bodyPr>
              <a:lstStyle/>
              <a:p>
                <a:pPr>
                  <a:defRPr>
                    <a:effectLst>
                      <a:glow rad="127000">
                        <a:schemeClr val="bg1"/>
                      </a:glow>
                    </a:effectLst>
                  </a:defRPr>
                </a:pPr>
                <a:endParaRPr lang="uk-UA"/>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YKM_ALL!$B$11:$G$11</c:f>
              <c:numCache>
                <c:formatCode>dd\.mm\.yyyy;@</c:formatCode>
                <c:ptCount val="6"/>
                <c:pt idx="0">
                  <c:v>44561</c:v>
                </c:pt>
                <c:pt idx="1">
                  <c:v>44926</c:v>
                </c:pt>
                <c:pt idx="2">
                  <c:v>45291</c:v>
                </c:pt>
                <c:pt idx="3">
                  <c:v>45657</c:v>
                </c:pt>
                <c:pt idx="4">
                  <c:v>46022</c:v>
                </c:pt>
                <c:pt idx="5">
                  <c:v>46265</c:v>
                </c:pt>
              </c:numCache>
            </c:numRef>
          </c:cat>
          <c:val>
            <c:numRef>
              <c:f>YKM_ALL!$B$14:$G$14</c:f>
              <c:numCache>
                <c:formatCode>#,##0.00</c:formatCode>
                <c:ptCount val="6"/>
                <c:pt idx="0">
                  <c:v>11.34018628644</c:v>
                </c:pt>
                <c:pt idx="1">
                  <c:v>9.8563851605699995</c:v>
                </c:pt>
                <c:pt idx="2">
                  <c:v>8.7289038365499998</c:v>
                </c:pt>
                <c:pt idx="3">
                  <c:v>6.8629393971299999</c:v>
                </c:pt>
                <c:pt idx="4">
                  <c:v>6.5274206810599997</c:v>
                </c:pt>
                <c:pt idx="5">
                  <c:v>5.7869695863799997</c:v>
                </c:pt>
              </c:numCache>
            </c:numRef>
          </c:val>
          <c:extLst>
            <c:ext xmlns:c16="http://schemas.microsoft.com/office/drawing/2014/chart" uri="{C3380CC4-5D6E-409C-BE32-E72D297353CC}">
              <c16:uniqueId val="{0000000B-5C46-4940-95C0-CAAA1399442C}"/>
            </c:ext>
          </c:extLst>
        </c:ser>
        <c:dLbls>
          <c:showLegendKey val="0"/>
          <c:showVal val="1"/>
          <c:showCatName val="0"/>
          <c:showSerName val="0"/>
          <c:showPercent val="0"/>
          <c:showBubbleSize val="0"/>
        </c:dLbls>
        <c:gapWidth val="150"/>
        <c:shape val="box"/>
        <c:axId val="109555072"/>
        <c:axId val="109565056"/>
        <c:axId val="0"/>
      </c:bar3DChart>
      <c:dateAx>
        <c:axId val="109555072"/>
        <c:scaling>
          <c:orientation val="minMax"/>
        </c:scaling>
        <c:delete val="0"/>
        <c:axPos val="b"/>
        <c:numFmt formatCode="yyyy" sourceLinked="0"/>
        <c:majorTickMark val="out"/>
        <c:minorTickMark val="none"/>
        <c:tickLblPos val="low"/>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65056"/>
        <c:crosses val="autoZero"/>
        <c:auto val="1"/>
        <c:lblOffset val="100"/>
        <c:baseTimeUnit val="years"/>
        <c:majorUnit val="1"/>
        <c:majorTimeUnit val="years"/>
        <c:minorUnit val="1"/>
        <c:minorTimeUnit val="years"/>
      </c:dateAx>
      <c:valAx>
        <c:axId val="109565056"/>
        <c:scaling>
          <c:orientation val="minMax"/>
        </c:scaling>
        <c:delete val="0"/>
        <c:axPos val="l"/>
        <c:majorGridlines>
          <c:spPr>
            <a:ln w="3175">
              <a:solidFill>
                <a:srgbClr val="000000"/>
              </a:solidFill>
              <a:prstDash val="solid"/>
            </a:ln>
          </c:spPr>
        </c:majorGridlines>
        <c:numFmt formatCode="#,##0.0" sourceLinked="0"/>
        <c:majorTickMark val="out"/>
        <c:minorTickMark val="none"/>
        <c:tickLblPos val="nextTo"/>
        <c:spPr>
          <a:ln w="3175">
            <a:solidFill>
              <a:srgbClr val="000000"/>
            </a:solidFill>
            <a:prstDash val="solid"/>
          </a:ln>
        </c:spPr>
        <c:txPr>
          <a:bodyPr rot="0" vert="horz"/>
          <a:lstStyle/>
          <a:p>
            <a:pPr>
              <a:defRPr sz="1125" b="0" i="0" u="none" strike="noStrike" baseline="0">
                <a:solidFill>
                  <a:srgbClr val="000000"/>
                </a:solidFill>
                <a:latin typeface="Arial Cyr"/>
                <a:ea typeface="Arial Cyr"/>
                <a:cs typeface="Arial Cyr"/>
              </a:defRPr>
            </a:pPr>
            <a:endParaRPr lang="uk-UA"/>
          </a:p>
        </c:txPr>
        <c:crossAx val="109555072"/>
        <c:crosses val="autoZero"/>
        <c:crossBetween val="between"/>
      </c:valAx>
      <c:spPr>
        <a:noFill/>
        <a:ln w="25400">
          <a:noFill/>
        </a:ln>
      </c:spPr>
    </c:plotArea>
    <c:legend>
      <c:legendPos val="r"/>
      <c:layout>
        <c:manualLayout>
          <c:xMode val="edge"/>
          <c:yMode val="edge"/>
          <c:x val="0.75593542260208924"/>
          <c:y val="5.637982195845697E-2"/>
          <c:w val="0.20892687559354228"/>
          <c:h val="0.1543026706231454"/>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Cyr"/>
              <a:ea typeface="Arial Cyr"/>
              <a:cs typeface="Arial Cyr"/>
            </a:defRPr>
          </a:pPr>
          <a:endParaRPr lang="uk-UA"/>
        </a:p>
      </c:txPr>
    </c:legend>
    <c:plotVisOnly val="1"/>
    <c:dispBlanksAs val="gap"/>
    <c:showDLblsOverMax val="0"/>
  </c:chart>
  <c:spPr>
    <a:noFill/>
    <a:ln w="9525">
      <a:noFill/>
    </a:ln>
  </c:spPr>
  <c:txPr>
    <a:bodyPr/>
    <a:lstStyle/>
    <a:p>
      <a:pPr>
        <a:defRPr sz="1100" b="0" i="0" u="none" strike="noStrike" baseline="0">
          <a:solidFill>
            <a:srgbClr val="000000"/>
          </a:solidFill>
          <a:latin typeface="Arial Cyr"/>
          <a:ea typeface="Arial Cyr"/>
          <a:cs typeface="Arial Cyr"/>
        </a:defRPr>
      </a:pPr>
      <a:endParaRPr lang="uk-UA"/>
    </a:p>
  </c:txPr>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[0]!DEBT_AS_OF_DATE</c:f>
          <c:strCache>
            <c:ptCount val="1"/>
            <c:pt idx="0">
              <c:v>Державний та гарантований державою борг України
станом на 31.08.2026</c:v>
            </c:pt>
          </c:strCache>
        </c:strRef>
      </c:tx>
      <c:layout>
        <c:manualLayout>
          <c:xMode val="edge"/>
          <c:yMode val="edge"/>
          <c:x val="0.29383998106794029"/>
          <c:y val="9.352634006523243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20"/>
      <c:rAngAx val="0"/>
      <c:perspective val="0"/>
    </c:view3D>
    <c:floor>
      <c:thickness val="0"/>
    </c:floor>
    <c:sideWall>
      <c:thickness val="0"/>
    </c:sideWall>
    <c:backWall>
      <c:thickness val="0"/>
    </c:backWall>
    <c:plotArea>
      <c:layout>
        <c:manualLayout>
          <c:layoutTarget val="inner"/>
          <c:xMode val="edge"/>
          <c:yMode val="edge"/>
          <c:x val="0.27685950413223143"/>
          <c:y val="0.39932318104906939"/>
          <c:w val="0.4462809917355372"/>
          <c:h val="0.29103214890016921"/>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1CC9-4E27-BD9D-63B205801126}"/>
              </c:ext>
            </c:extLst>
          </c:dPt>
          <c:dPt>
            <c:idx val="1"/>
            <c:bubble3D val="0"/>
            <c:extLst>
              <c:ext xmlns:c16="http://schemas.microsoft.com/office/drawing/2014/chart" uri="{C3380CC4-5D6E-409C-BE32-E72D297353CC}">
                <c16:uniqueId val="{00000001-1CC9-4E27-BD9D-63B205801126}"/>
              </c:ext>
            </c:extLst>
          </c:dPt>
          <c:dLbls>
            <c:dLbl>
              <c:idx val="0"/>
              <c:layout>
                <c:manualLayout>
                  <c:x val="2.5279264759873566E-2"/>
                  <c:y val="2.32298120095394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CC9-4E27-BD9D-63B205801126}"/>
                </c:ext>
              </c:extLst>
            </c:dLbl>
            <c:dLbl>
              <c:idx val="2"/>
              <c:layout>
                <c:manualLayout>
                  <c:xMode val="edge"/>
                  <c:yMode val="edge"/>
                  <c:x val="0.50723140495867769"/>
                  <c:y val="0.4399323181049069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CC9-4E27-BD9D-63B205801126}"/>
                </c:ext>
              </c:extLst>
            </c:dLbl>
            <c:dLbl>
              <c:idx val="3"/>
              <c:layout>
                <c:manualLayout>
                  <c:xMode val="edge"/>
                  <c:yMode val="edge"/>
                  <c:x val="0.52169421487603307"/>
                  <c:y val="0.4500846023688663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CC9-4E27-BD9D-63B205801126}"/>
                </c:ext>
              </c:extLst>
            </c:dLbl>
            <c:dLbl>
              <c:idx val="4"/>
              <c:layout>
                <c:manualLayout>
                  <c:xMode val="edge"/>
                  <c:yMode val="edge"/>
                  <c:x val="0.50929752066115708"/>
                  <c:y val="0.1489001692047377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CC9-4E27-BD9D-63B205801126}"/>
                </c:ext>
              </c:extLst>
            </c:dLbl>
            <c:dLbl>
              <c:idx val="5"/>
              <c:layout>
                <c:manualLayout>
                  <c:xMode val="edge"/>
                  <c:yMode val="edge"/>
                  <c:x val="0.6776859504132231"/>
                  <c:y val="0.2791878172588832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CC9-4E27-BD9D-63B205801126}"/>
                </c:ext>
              </c:extLst>
            </c:dLbl>
            <c:dLbl>
              <c:idx val="6"/>
              <c:layout>
                <c:manualLayout>
                  <c:xMode val="edge"/>
                  <c:yMode val="edge"/>
                  <c:x val="0.59400826446280997"/>
                  <c:y val="0.348561759729272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1CC9-4E27-BD9D-63B205801126}"/>
                </c:ext>
              </c:extLst>
            </c:dLbl>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1"/>
            <c:showBubbleSize val="0"/>
            <c:showLeaderLines val="0"/>
            <c:extLst>
              <c:ext xmlns:c15="http://schemas.microsoft.com/office/drawing/2012/chart" uri="{CE6537A1-D6FC-4f65-9D91-7224C49458BB}"/>
            </c:extLst>
          </c:dLbls>
          <c:cat>
            <c:strRef>
              <c:f>KIND_CMP!$A$8:$A$9</c:f>
              <c:strCache>
                <c:ptCount val="2"/>
                <c:pt idx="0">
                  <c:v>Державний борг</c:v>
                </c:pt>
                <c:pt idx="1">
                  <c:v>Гарантований державою борг</c:v>
                </c:pt>
              </c:strCache>
            </c:strRef>
          </c:cat>
          <c:val>
            <c:numRef>
              <c:f>KIND_CMP!$F$8:$F$9</c:f>
              <c:numCache>
                <c:formatCode>#,##0.00</c:formatCode>
                <c:ptCount val="2"/>
                <c:pt idx="0">
                  <c:v>9345.0806751427208</c:v>
                </c:pt>
                <c:pt idx="1">
                  <c:v>257.81238855825001</c:v>
                </c:pt>
              </c:numCache>
            </c:numRef>
          </c:val>
          <c:extLst>
            <c:ext xmlns:c16="http://schemas.microsoft.com/office/drawing/2014/chart" uri="{C3380CC4-5D6E-409C-BE32-E72D297353CC}">
              <c16:uniqueId val="{00000007-1CC9-4E27-BD9D-63B205801126}"/>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[0]!DEBT_BY_REPAYMENT</c:f>
          <c:strCache>
            <c:ptCount val="1"/>
            <c:pt idx="0">
              <c:v>Структура державного та гарантованого державою боргу
в розрізі термінів погашення</c:v>
            </c:pt>
          </c:strCache>
        </c:strRef>
      </c:tx>
      <c:layout>
        <c:manualLayout>
          <c:xMode val="edge"/>
          <c:yMode val="edge"/>
          <c:x val="0.25542916235780766"/>
          <c:y val="2.0338983050847456E-2"/>
        </c:manualLayout>
      </c:layout>
      <c:overlay val="0"/>
      <c:spPr>
        <a:noFill/>
        <a:ln w="25400">
          <a:noFill/>
        </a:ln>
      </c:spPr>
      <c:txPr>
        <a:bodyPr/>
        <a:lstStyle/>
        <a:p>
          <a:pPr>
            <a:defRPr sz="1200" b="1" i="0" u="none" strike="noStrike" baseline="0">
              <a:solidFill>
                <a:srgbClr val="000000"/>
              </a:solidFill>
              <a:latin typeface="Arial Cyr"/>
              <a:ea typeface="Arial Cyr"/>
              <a:cs typeface="Arial Cyr"/>
            </a:defRPr>
          </a:pPr>
          <a:endParaRPr lang="uk-UA"/>
        </a:p>
      </c:tx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335056876938985"/>
          <c:y val="0.42203389830508475"/>
          <c:w val="0.43329886246122029"/>
          <c:h val="0.28135593220338984"/>
        </c:manualLayout>
      </c:layout>
      <c:pie3DChart>
        <c:varyColors val="1"/>
        <c:ser>
          <c:idx val="0"/>
          <c:order val="0"/>
          <c:spPr>
            <a:solidFill>
              <a:srgbClr val="9999FF"/>
            </a:solidFill>
            <a:ln w="12700">
              <a:solidFill>
                <a:srgbClr val="000000"/>
              </a:solidFill>
              <a:prstDash val="solid"/>
            </a:ln>
          </c:spPr>
          <c:dPt>
            <c:idx val="0"/>
            <c:bubble3D val="0"/>
            <c:extLst>
              <c:ext xmlns:c16="http://schemas.microsoft.com/office/drawing/2014/chart" uri="{C3380CC4-5D6E-409C-BE32-E72D297353CC}">
                <c16:uniqueId val="{00000000-87F8-4C0B-B6E5-AAA4E14FF1D5}"/>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87F8-4C0B-B6E5-AAA4E14FF1D5}"/>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87F8-4C0B-B6E5-AAA4E14FF1D5}"/>
              </c:ext>
            </c:extLst>
          </c:dPt>
          <c:dLbls>
            <c:numFmt formatCode="0%" sourceLinked="0"/>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1"/>
            <c:showCatName val="1"/>
            <c:showSerName val="0"/>
            <c:showPercent val="1"/>
            <c:showBubbleSize val="0"/>
            <c:showLeaderLines val="0"/>
            <c:extLst>
              <c:ext xmlns:c15="http://schemas.microsoft.com/office/drawing/2012/chart" uri="{CE6537A1-D6FC-4f65-9D91-7224C49458BB}"/>
            </c:extLst>
          </c:dLbls>
          <c:cat>
            <c:strRef>
              <c:f>DTR!$A$7:$A$10</c:f>
              <c:strCache>
                <c:ptCount val="4"/>
                <c:pt idx="0">
                  <c:v>Не визначений</c:v>
                </c:pt>
                <c:pt idx="1">
                  <c:v>2026.08.31-2026.12.31</c:v>
                </c:pt>
                <c:pt idx="2">
                  <c:v>2027-2031</c:v>
                </c:pt>
                <c:pt idx="3">
                  <c:v>2031-01.03.2080</c:v>
                </c:pt>
              </c:strCache>
            </c:strRef>
          </c:cat>
          <c:val>
            <c:numRef>
              <c:f>DTR!$B$7:$B$10</c:f>
              <c:numCache>
                <c:formatCode>#,##0.00</c:formatCode>
                <c:ptCount val="4"/>
                <c:pt idx="0">
                  <c:v>2.4152878490000002E-2</c:v>
                </c:pt>
                <c:pt idx="1">
                  <c:v>3.6722678967400002</c:v>
                </c:pt>
                <c:pt idx="2">
                  <c:v>35.957097884859998</c:v>
                </c:pt>
                <c:pt idx="3">
                  <c:v>175.89721732976</c:v>
                </c:pt>
              </c:numCache>
            </c:numRef>
          </c:val>
          <c:extLst>
            <c:ext xmlns:c16="http://schemas.microsoft.com/office/drawing/2014/chart" uri="{C3380CC4-5D6E-409C-BE32-E72D297353CC}">
              <c16:uniqueId val="{00000005-87F8-4C0B-B6E5-AAA4E14FF1D5}"/>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Cyr"/>
                <a:ea typeface="Arial Cyr"/>
                <a:cs typeface="Arial Cyr"/>
              </a:defRPr>
            </a:pPr>
            <a:r>
              <a:rPr lang="uk-UA"/>
              <a:t>Державний та гарантований державою борг України
(в розрізі середнього терміну обігу та середньої ставки)</a:t>
            </a:r>
          </a:p>
          <a:p>
            <a:pPr>
              <a:defRPr sz="1000" b="0" i="0" u="none" strike="noStrike" baseline="0">
                <a:solidFill>
                  <a:srgbClr val="000000"/>
                </a:solidFill>
                <a:latin typeface="Arial Cyr"/>
                <a:ea typeface="Arial Cyr"/>
                <a:cs typeface="Arial Cyr"/>
              </a:defRPr>
            </a:pPr>
            <a:endParaRPr lang="uk-UA"/>
          </a:p>
        </c:rich>
      </c:tx>
      <c:layout>
        <c:manualLayout>
          <c:xMode val="edge"/>
          <c:yMode val="edge"/>
          <c:x val="0.2654959434418524"/>
          <c:y val="2.0304354994674902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615702479338845"/>
          <c:y val="0.44162436548223349"/>
          <c:w val="0.42768595041322316"/>
          <c:h val="0.27749576988155666"/>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25CC-4E12-B0CC-93B98208DE11}"/>
              </c:ext>
            </c:extLst>
          </c:dPt>
          <c:dPt>
            <c:idx val="1"/>
            <c:bubble3D val="0"/>
            <c:extLst>
              <c:ext xmlns:c16="http://schemas.microsoft.com/office/drawing/2014/chart" uri="{C3380CC4-5D6E-409C-BE32-E72D297353CC}">
                <c16:uniqueId val="{00000001-25CC-4E12-B0CC-93B98208DE11}"/>
              </c:ext>
            </c:extLst>
          </c:dPt>
          <c:dPt>
            <c:idx val="2"/>
            <c:bubble3D val="0"/>
            <c:extLst>
              <c:ext xmlns:c16="http://schemas.microsoft.com/office/drawing/2014/chart" uri="{C3380CC4-5D6E-409C-BE32-E72D297353CC}">
                <c16:uniqueId val="{00000002-25CC-4E12-B0CC-93B98208DE11}"/>
              </c:ext>
            </c:extLst>
          </c:dPt>
          <c:dPt>
            <c:idx val="3"/>
            <c:bubble3D val="0"/>
            <c:extLst>
              <c:ext xmlns:c16="http://schemas.microsoft.com/office/drawing/2014/chart" uri="{C3380CC4-5D6E-409C-BE32-E72D297353CC}">
                <c16:uniqueId val="{00000003-25CC-4E12-B0CC-93B98208DE11}"/>
              </c:ext>
            </c:extLst>
          </c:dPt>
          <c:dLbls>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0"/>
            <c:showBubbleSize val="0"/>
            <c:showLeaderLines val="1"/>
            <c:extLst>
              <c:ext xmlns:c15="http://schemas.microsoft.com/office/drawing/2012/chart" uri="{CE6537A1-D6FC-4f65-9D91-7224C49458BB}"/>
            </c:extLst>
          </c:dLbls>
          <c:cat>
            <c:strRef>
              <c:f>(DEBT_TERM!$I$11,DEBT_TERM!$I$22,DEBT_TERM!$I$25,DEBT_TERM!$I$26)</c:f>
              <c:strCache>
                <c:ptCount val="4"/>
                <c:pt idx="0">
                  <c:v>      Державний внутрішній борг; 22,899%; 6,34р.</c:v>
                </c:pt>
                <c:pt idx="1">
                  <c:v>      Державний зовнішній борг; 8,569%; 13,17р.</c:v>
                </c:pt>
                <c:pt idx="2">
                  <c:v>      Гарантований внутрішній борг; 18,471%; 4,82р.</c:v>
                </c:pt>
                <c:pt idx="3">
                  <c:v>      Гарантований зовнішній борг; 14,354%; 8,02р.</c:v>
                </c:pt>
              </c:strCache>
            </c:strRef>
          </c:cat>
          <c:val>
            <c:numRef>
              <c:f>(DEBT_TERM!$J$11,DEBT_TERM!$J$22,DEBT_TERM!$J$25,DEBT_TERM!$J$26)</c:f>
              <c:numCache>
                <c:formatCode>#,##0.00</c:formatCode>
                <c:ptCount val="4"/>
                <c:pt idx="0">
                  <c:v>141758727.56</c:v>
                </c:pt>
                <c:pt idx="1">
                  <c:v>183427806.75999999</c:v>
                </c:pt>
                <c:pt idx="2">
                  <c:v>13755251.4</c:v>
                </c:pt>
                <c:pt idx="3">
                  <c:v>95285578.480000004</c:v>
                </c:pt>
              </c:numCache>
            </c:numRef>
          </c:val>
          <c:extLst>
            <c:ext xmlns:c16="http://schemas.microsoft.com/office/drawing/2014/chart" uri="{C3380CC4-5D6E-409C-BE32-E72D297353CC}">
              <c16:uniqueId val="{00000004-25CC-4E12-B0CC-93B98208DE11}"/>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uk-UA"/>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Arial Cyr"/>
                <a:ea typeface="Arial Cyr"/>
                <a:cs typeface="Arial Cyr"/>
              </a:defRPr>
            </a:pPr>
            <a:r>
              <a:rPr lang="uk-UA"/>
              <a:t>Державний та гарантований державою борг України
(в розрізі середнього терміну обігу та середньої ставки)</a:t>
            </a:r>
          </a:p>
          <a:p>
            <a:pPr>
              <a:defRPr sz="1000" b="0" i="0" u="none" strike="noStrike" baseline="0">
                <a:solidFill>
                  <a:srgbClr val="000000"/>
                </a:solidFill>
                <a:latin typeface="Arial Cyr"/>
                <a:ea typeface="Arial Cyr"/>
                <a:cs typeface="Arial Cyr"/>
              </a:defRPr>
            </a:pPr>
            <a:endParaRPr lang="uk-UA"/>
          </a:p>
        </c:rich>
      </c:tx>
      <c:layout>
        <c:manualLayout>
          <c:xMode val="edge"/>
          <c:yMode val="edge"/>
          <c:x val="0.26549585128125791"/>
          <c:y val="2.0304390885149508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7272727272727271"/>
          <c:y val="0.43147208121827413"/>
          <c:w val="0.45454545454545453"/>
          <c:h val="0.29610829103214892"/>
        </c:manualLayout>
      </c:layout>
      <c:pie3DChart>
        <c:varyColors val="1"/>
        <c:ser>
          <c:idx val="0"/>
          <c:order val="0"/>
          <c:spPr>
            <a:ln w="12700">
              <a:solidFill>
                <a:srgbClr val="000000"/>
              </a:solidFill>
              <a:prstDash val="solid"/>
            </a:ln>
          </c:spPr>
          <c:dPt>
            <c:idx val="0"/>
            <c:bubble3D val="0"/>
            <c:extLst>
              <c:ext xmlns:c16="http://schemas.microsoft.com/office/drawing/2014/chart" uri="{C3380CC4-5D6E-409C-BE32-E72D297353CC}">
                <c16:uniqueId val="{00000000-6201-48BE-A118-F5E9CA43A8F4}"/>
              </c:ext>
            </c:extLst>
          </c:dPt>
          <c:dPt>
            <c:idx val="1"/>
            <c:bubble3D val="0"/>
            <c:extLst>
              <c:ext xmlns:c16="http://schemas.microsoft.com/office/drawing/2014/chart" uri="{C3380CC4-5D6E-409C-BE32-E72D297353CC}">
                <c16:uniqueId val="{00000001-6201-48BE-A118-F5E9CA43A8F4}"/>
              </c:ext>
            </c:extLst>
          </c:dPt>
          <c:dPt>
            <c:idx val="2"/>
            <c:bubble3D val="0"/>
            <c:extLst>
              <c:ext xmlns:c16="http://schemas.microsoft.com/office/drawing/2014/chart" uri="{C3380CC4-5D6E-409C-BE32-E72D297353CC}">
                <c16:uniqueId val="{00000002-6201-48BE-A118-F5E9CA43A8F4}"/>
              </c:ext>
            </c:extLst>
          </c:dPt>
          <c:dPt>
            <c:idx val="3"/>
            <c:bubble3D val="0"/>
            <c:extLst>
              <c:ext xmlns:c16="http://schemas.microsoft.com/office/drawing/2014/chart" uri="{C3380CC4-5D6E-409C-BE32-E72D297353CC}">
                <c16:uniqueId val="{00000003-6201-48BE-A118-F5E9CA43A8F4}"/>
              </c:ext>
            </c:extLst>
          </c:dPt>
          <c:dPt>
            <c:idx val="4"/>
            <c:bubble3D val="0"/>
            <c:extLst>
              <c:ext xmlns:c16="http://schemas.microsoft.com/office/drawing/2014/chart" uri="{C3380CC4-5D6E-409C-BE32-E72D297353CC}">
                <c16:uniqueId val="{00000004-6201-48BE-A118-F5E9CA43A8F4}"/>
              </c:ext>
            </c:extLst>
          </c:dPt>
          <c:dPt>
            <c:idx val="5"/>
            <c:bubble3D val="0"/>
            <c:extLst>
              <c:ext xmlns:c16="http://schemas.microsoft.com/office/drawing/2014/chart" uri="{C3380CC4-5D6E-409C-BE32-E72D297353CC}">
                <c16:uniqueId val="{00000005-6201-48BE-A118-F5E9CA43A8F4}"/>
              </c:ext>
            </c:extLst>
          </c:dPt>
          <c:dPt>
            <c:idx val="6"/>
            <c:bubble3D val="0"/>
            <c:extLst>
              <c:ext xmlns:c16="http://schemas.microsoft.com/office/drawing/2014/chart" uri="{C3380CC4-5D6E-409C-BE32-E72D297353CC}">
                <c16:uniqueId val="{00000006-6201-48BE-A118-F5E9CA43A8F4}"/>
              </c:ext>
            </c:extLst>
          </c:dPt>
          <c:dPt>
            <c:idx val="7"/>
            <c:bubble3D val="0"/>
            <c:extLst>
              <c:ext xmlns:c16="http://schemas.microsoft.com/office/drawing/2014/chart" uri="{C3380CC4-5D6E-409C-BE32-E72D297353CC}">
                <c16:uniqueId val="{00000007-6201-48BE-A118-F5E9CA43A8F4}"/>
              </c:ext>
            </c:extLst>
          </c:dPt>
          <c:dPt>
            <c:idx val="8"/>
            <c:bubble3D val="0"/>
            <c:extLst>
              <c:ext xmlns:c16="http://schemas.microsoft.com/office/drawing/2014/chart" uri="{C3380CC4-5D6E-409C-BE32-E72D297353CC}">
                <c16:uniqueId val="{00000008-6201-48BE-A118-F5E9CA43A8F4}"/>
              </c:ext>
            </c:extLst>
          </c:dPt>
          <c:dLbls>
            <c:spPr>
              <a:noFill/>
              <a:ln w="25400">
                <a:noFill/>
              </a:ln>
            </c:spPr>
            <c:txPr>
              <a:bodyPr/>
              <a:lstStyle/>
              <a:p>
                <a:pPr>
                  <a:defRPr sz="1000" b="0" i="0" u="none" strike="noStrike" baseline="0">
                    <a:solidFill>
                      <a:srgbClr val="000000"/>
                    </a:solidFill>
                    <a:latin typeface="Arial Cyr"/>
                    <a:ea typeface="Arial Cyr"/>
                    <a:cs typeface="Arial Cyr"/>
                  </a:defRPr>
                </a:pPr>
                <a:endParaRPr lang="uk-UA"/>
              </a:p>
            </c:txPr>
            <c:showLegendKey val="0"/>
            <c:showVal val="0"/>
            <c:showCatName val="1"/>
            <c:showSerName val="0"/>
            <c:showPercent val="0"/>
            <c:showBubbleSize val="0"/>
            <c:showLeaderLines val="1"/>
            <c:extLst>
              <c:ext xmlns:c15="http://schemas.microsoft.com/office/drawing/2012/chart" uri="{CE6537A1-D6FC-4f65-9D91-7224C49458BB}"/>
            </c:extLst>
          </c:dLbls>
          <c:cat>
            <c:strRef>
              <c:f>DEBT_TERM!$I$13:$I$21</c:f>
              <c:strCache>
                <c:ptCount val="9"/>
                <c:pt idx="0">
                  <c:v>            ОВДП (10 - річні); 9,5%; 9,92р.</c:v>
                </c:pt>
                <c:pt idx="1">
                  <c:v>            ОВДП (11 - річні); 9,5%; 11,07р.</c:v>
                </c:pt>
                <c:pt idx="2">
                  <c:v>            ОВДП (12 - місячні); 1,373%; 0,95р.</c:v>
                </c:pt>
                <c:pt idx="3">
                  <c:v>            ОВДП (12 - річні); 9,5%; 12,43р.</c:v>
                </c:pt>
                <c:pt idx="4">
                  <c:v>            ОВДП (18 - місячні); 10,286%; 1,66р.</c:v>
                </c:pt>
                <c:pt idx="5">
                  <c:v>            ОВДП (2 - річні); 15,615%; 1,73р.</c:v>
                </c:pt>
                <c:pt idx="6">
                  <c:v>            ОВДП (3 - місячні); 0%; 0р.</c:v>
                </c:pt>
                <c:pt idx="7">
                  <c:v>            ОВДП (3 - річні); 28,767%; 2,92р.</c:v>
                </c:pt>
                <c:pt idx="8">
                  <c:v>            ОВДП (4 - річні); 0%; 0р.</c:v>
                </c:pt>
              </c:strCache>
            </c:strRef>
          </c:cat>
          <c:val>
            <c:numRef>
              <c:f>DEBT_TERM!$J$13:$J$21</c:f>
              <c:numCache>
                <c:formatCode>#,##0.00</c:formatCode>
                <c:ptCount val="9"/>
                <c:pt idx="0">
                  <c:v>13312189</c:v>
                </c:pt>
                <c:pt idx="1">
                  <c:v>3849981</c:v>
                </c:pt>
                <c:pt idx="2">
                  <c:v>8118816</c:v>
                </c:pt>
                <c:pt idx="3">
                  <c:v>1500000</c:v>
                </c:pt>
                <c:pt idx="4">
                  <c:v>2800000</c:v>
                </c:pt>
                <c:pt idx="5">
                  <c:v>4478188</c:v>
                </c:pt>
                <c:pt idx="6">
                  <c:v>0</c:v>
                </c:pt>
                <c:pt idx="7">
                  <c:v>16281350</c:v>
                </c:pt>
                <c:pt idx="8">
                  <c:v>0</c:v>
                </c:pt>
              </c:numCache>
            </c:numRef>
          </c:val>
          <c:extLst>
            <c:ext xmlns:c16="http://schemas.microsoft.com/office/drawing/2014/chart" uri="{C3380CC4-5D6E-409C-BE32-E72D297353CC}">
              <c16:uniqueId val="{00000009-6201-48BE-A118-F5E9CA43A8F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noFill/>
    <a:ln w="9525">
      <a:noFill/>
    </a:ln>
  </c:spPr>
  <c:txPr>
    <a:bodyPr/>
    <a:lstStyle/>
    <a:p>
      <a:pPr>
        <a:defRPr sz="1000" b="0" i="0" u="none" strike="noStrike" baseline="0">
          <a:solidFill>
            <a:srgbClr val="000000"/>
          </a:solidFill>
          <a:latin typeface="Arial Cyr"/>
          <a:ea typeface="Arial Cyr"/>
          <a:cs typeface="Arial Cyr"/>
        </a:defRPr>
      </a:pPr>
      <a:endParaRPr lang="uk-UA"/>
    </a:p>
  </c:txPr>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chart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chart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chart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chart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chart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chart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chart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chart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chart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chart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chart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chart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chart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chart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chart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chart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chart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chart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000-000000000000}">
  <sheetPr codeName="Диаграмма12"/>
  <sheetViews>
    <sheetView workbookViewId="0"/>
  </sheetViews>
  <pageMargins left="0.75" right="0.75" top="1" bottom="1" header="0.5" footer="0.5"/>
  <headerFooter alignWithMargins="0"/>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codeName="Диаграмма11"/>
  <sheetViews>
    <sheetView workbookViewId="0"/>
  </sheetViews>
  <pageMargins left="0.75" right="0.75" top="1" bottom="1" header="0.5" footer="0.5"/>
  <headerFooter alignWithMargins="0"/>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codeName="Диаграмма5"/>
  <sheetViews>
    <sheetView zoomScale="92" workbookViewId="0" zoomToFit="1"/>
  </sheetViews>
  <pageMargins left="0.75" right="0.75" top="1" bottom="1" header="0.5" footer="0.5"/>
  <pageSetup paperSize="9" orientation="landscape"/>
  <headerFooter alignWithMargins="0"/>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Диаграмма6"/>
  <sheetViews>
    <sheetView workbookViewId="0"/>
  </sheetViews>
  <pageMargins left="0.75" right="0.75" top="1" bottom="1" header="0.5" footer="0.5"/>
  <headerFooter alignWithMargins="0"/>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Диаграмма10">
    <tabColor indexed="11"/>
  </sheetPr>
  <sheetViews>
    <sheetView zoomScale="120" workbookViewId="0"/>
  </sheetViews>
  <pageMargins left="0.75" right="0.75" top="1" bottom="1" header="0.5" footer="0.5"/>
  <headerFooter alignWithMargins="0"/>
  <drawing r:id="rId1"/>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codeName="Диаграмма9">
    <tabColor indexed="11"/>
  </sheetPr>
  <sheetViews>
    <sheetView zoomScale="120" workbookViewId="0"/>
  </sheetViews>
  <pageMargins left="0.75" right="0.75" top="1" bottom="1" header="0.5" footer="0.5"/>
  <headerFooter alignWithMargins="0"/>
  <drawing r:id="rId1"/>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E00-000000000000}">
  <sheetPr codeName="Диаграмма7">
    <tabColor indexed="40"/>
  </sheetPr>
  <sheetViews>
    <sheetView zoomScale="120" workbookViewId="0"/>
  </sheetViews>
  <pageMargins left="0.75" right="0.75" top="1" bottom="1" header="0.5" footer="0.5"/>
  <headerFooter alignWithMargins="0"/>
  <drawing r:id="rId1"/>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F00-000000000000}">
  <sheetPr codeName="Диаграмма2">
    <tabColor indexed="40"/>
  </sheetPr>
  <sheetViews>
    <sheetView zoomScale="120" workbookViewId="0"/>
  </sheetViews>
  <pageMargins left="0.75" right="0.75" top="1" bottom="1" header="0.5" footer="0.5"/>
  <headerFooter alignWithMargins="0"/>
  <drawing r:id="rId1"/>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000-000000000000}">
  <sheetPr codeName="Диаграмма13">
    <tabColor indexed="40"/>
  </sheetPr>
  <sheetViews>
    <sheetView workbookViewId="0"/>
  </sheetViews>
  <pageMargins left="0.75" right="0.75" top="1" bottom="1" header="0.5" footer="0.5"/>
  <headerFooter alignWithMargins="0"/>
  <drawing r:id="rId1"/>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600-000000000000}">
  <sheetPr codeName="Диаграмма1">
    <tabColor indexed="47"/>
  </sheetPr>
  <sheetViews>
    <sheetView zoomScale="120" workbookViewId="0"/>
  </sheetViews>
  <pageMargins left="0.75" right="0.75" top="1" bottom="1" header="0.5" footer="0.5"/>
  <headerFooter alignWithMargins="0"/>
  <drawing r:id="rId1"/>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700-000000000000}">
  <sheetPr codeName="Диаграмма18">
    <tabColor indexed="47"/>
  </sheetPr>
  <sheetViews>
    <sheetView zoomScale="120" workbookViewId="0"/>
  </sheetViews>
  <pageMargins left="0.75" right="0.75" top="1" bottom="1" header="0.5" footer="0.5"/>
  <headerFooter alignWithMargins="0"/>
  <drawing r:id="rId1"/>
</chartsheet>
</file>

<file path=xl/chartsheets/sheet1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codeName="Диаграмма4">
    <tabColor indexed="46"/>
  </sheetPr>
  <sheetViews>
    <sheetView zoomScale="120" workbookViewId="0"/>
  </sheetViews>
  <pageMargins left="0.75" right="0.75" top="1" bottom="1" header="0.5" footer="0.5"/>
  <headerFooter alignWithMargins="0"/>
  <drawing r:id="rId1"/>
</chartsheet>
</file>

<file path=xl/chartsheets/sheet1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100-000000000000}">
  <sheetPr codeName="Диаграмма22">
    <tabColor indexed="46"/>
  </sheetPr>
  <sheetViews>
    <sheetView zoomScale="120" workbookViewId="0"/>
  </sheetViews>
  <pageMargins left="0.75" right="0.75" top="1" bottom="1" header="0.5" footer="0.5"/>
  <headerFooter alignWithMargins="0"/>
  <drawing r:id="rId1"/>
</chartsheet>
</file>

<file path=xl/chartsheets/sheet1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200-000000000000}">
  <sheetPr codeName="Диаграмма23">
    <tabColor indexed="46"/>
  </sheetPr>
  <sheetViews>
    <sheetView zoomScale="120" workbookViewId="0"/>
  </sheetViews>
  <pageMargins left="0.75" right="0.75" top="1" bottom="1" header="0.5" footer="0.5"/>
  <headerFooter alignWithMargins="0"/>
  <drawing r:id="rId1"/>
</chartsheet>
</file>

<file path=xl/chartsheets/sheet1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500-000000000000}">
  <sheetPr codeName="Диаграмма14">
    <tabColor indexed="22"/>
  </sheetPr>
  <sheetViews>
    <sheetView zoomScale="120" workbookViewId="0"/>
  </sheetViews>
  <pageMargins left="0.75" right="0.75" top="1" bottom="1" header="0.5" footer="0.5"/>
  <headerFooter alignWithMargins="0"/>
  <drawing r:id="rId1"/>
</chartsheet>
</file>

<file path=xl/chartsheets/sheet1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600-000000000000}">
  <sheetPr codeName="Диаграмма17">
    <tabColor indexed="22"/>
  </sheetPr>
  <sheetViews>
    <sheetView zoomScale="120" workbookViewId="0"/>
  </sheetViews>
  <pageMargins left="0.75" right="0.75" top="1" bottom="1" header="0.5" footer="0.5"/>
  <headerFooter alignWithMargins="0"/>
  <drawing r:id="rId1"/>
</chartsheet>
</file>

<file path=xl/chartsheets/sheet1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700-000000000000}">
  <sheetPr codeName="Диаграмма15">
    <tabColor indexed="22"/>
  </sheetPr>
  <sheetViews>
    <sheetView zoomScale="120" workbookViewId="0"/>
  </sheetViews>
  <pageMargins left="0.75" right="0.75" top="1" bottom="1" header="0.5" footer="0.5"/>
  <headerFooter alignWithMargins="0"/>
  <drawing r:id="rId1"/>
</chartsheet>
</file>

<file path=xl/chartsheets/sheet1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900-000000000000}">
  <sheetPr codeName="Диаграмма19">
    <tabColor indexed="13"/>
  </sheetPr>
  <sheetViews>
    <sheetView zoomScale="109" workbookViewId="0" zoomToFit="1"/>
  </sheetViews>
  <pageMargins left="0.38" right="0.32" top="0.61" bottom="0.56000000000000005" header="0.5" footer="0.38"/>
  <pageSetup paperSize="9" orientation="landscape"/>
  <headerFooter alignWithMargins="0"/>
  <drawing r:id="rId1"/>
</chartsheet>
</file>

<file path=xl/chartsheets/sheet1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A00-000000000000}">
  <sheetPr codeName="Диаграмма20">
    <tabColor indexed="13"/>
  </sheetPr>
  <sheetViews>
    <sheetView zoomScale="108" workbookViewId="0" zoomToFit="1"/>
  </sheetViews>
  <pageMargins left="0.31" right="0.3" top="0.56999999999999995" bottom="0.56000000000000005" header="0.44" footer="0.37"/>
  <pageSetup paperSize="9" orientation="landscape"/>
  <headerFooter alignWithMargins="0"/>
  <drawing r:id="rId1"/>
</chartsheet>
</file>

<file path=xl/chartsheets/sheet2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C00-000000000000}">
  <sheetPr codeName="Диаграмма25">
    <tabColor indexed="13"/>
  </sheetPr>
  <sheetViews>
    <sheetView zoomScale="109" workbookViewId="0" zoomToFit="1"/>
  </sheetViews>
  <pageMargins left="0.38" right="0.32" top="0.61" bottom="0.56000000000000005" header="0.5" footer="0.38"/>
  <pageSetup paperSize="9" orientation="landscape"/>
  <headerFooter alignWithMargins="0"/>
  <drawing r:id="rId1"/>
</chartsheet>
</file>

<file path=xl/chartsheets/sheet2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D00-000000000000}">
  <sheetPr codeName="Диаграмма24">
    <tabColor indexed="13"/>
  </sheetPr>
  <sheetViews>
    <sheetView zoomScale="108" workbookViewId="0" zoomToFit="1"/>
  </sheetViews>
  <pageMargins left="0.31" right="0.3" top="0.56999999999999995" bottom="0.56000000000000005" header="0.44" footer="0.37"/>
  <pageSetup paperSize="9" orientation="landscape"/>
  <headerFooter alignWithMargins="0"/>
  <drawing r:id="rId1"/>
</chartsheet>
</file>

<file path=xl/chartsheets/sheet2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300-000000000000}">
  <sheetPr codeName="Диаграмма21">
    <tabColor indexed="53"/>
  </sheetPr>
  <sheetViews>
    <sheetView zoomScale="120" workbookViewId="0"/>
  </sheetViews>
  <pageMargins left="0.75" right="0.75" top="1" bottom="1" header="0.5" footer="0.5"/>
  <headerFooter alignWithMargins="0"/>
  <drawing r:id="rId1"/>
</chartsheet>
</file>

<file path=xl/chartsheets/sheet2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500-000000000000}">
  <sheetPr codeName="Диаграмма3"/>
  <sheetViews>
    <sheetView zoomScale="124" workbookViewId="0" zoomToFit="1"/>
  </sheetViews>
  <pageMargins left="0.75" right="0.75" top="1" bottom="1" header="0.5" footer="0.5"/>
  <pageSetup paperSize="9" orientation="landscape"/>
  <headerFooter alignWithMargins="0"/>
  <drawing r:id="rId1"/>
</chartsheet>
</file>

<file path=xl/chartsheets/sheet2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700-000000000000}">
  <sheetPr codeName="Диаграмма8">
    <tabColor indexed="48"/>
  </sheetPr>
  <sheetViews>
    <sheetView zoomScale="120" workbookViewId="0"/>
  </sheetViews>
  <pageMargins left="0.75" right="0.75" top="1" bottom="1" header="0.5" footer="0.5"/>
  <headerFooter alignWithMargins="0"/>
  <drawing r:id="rId1"/>
</chartsheet>
</file>

<file path=xl/chartsheets/sheet2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3800-000000000000}">
  <sheetPr codeName="Диаграмма16">
    <tabColor indexed="48"/>
  </sheetPr>
  <sheetViews>
    <sheetView zoomScale="120" workbookViewId="0"/>
  </sheetViews>
  <pageMargins left="0.75" right="0.75" top="1" bottom="1" header="0.5" footer="0.5"/>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5.xml"/></Relationships>
</file>

<file path=xl/drawings/drawing1.xml><?xml version="1.0" encoding="utf-8"?>
<xdr:wsDr xmlns:xdr="http://schemas.openxmlformats.org/drawingml/2006/spreadsheetDrawing" xmlns:a="http://schemas.openxmlformats.org/drawingml/2006/main">
  <xdr:absoluteAnchor>
    <xdr:pos x="0" y="0"/>
    <xdr:ext cx="638175" cy="638175"/>
    <xdr:graphicFrame macro="">
      <xdr:nvGraphicFramePr>
        <xdr:cNvPr id="2" name="Диаграмма 1">
          <a:extLst>
            <a:ext uri="{FF2B5EF4-FFF2-40B4-BE49-F238E27FC236}">
              <a16:creationId xmlns:a16="http://schemas.microsoft.com/office/drawing/2014/main" id="{00000000-0008-0000-0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5925" cy="6076950"/>
    <xdr:graphicFrame macro="">
      <xdr:nvGraphicFramePr>
        <xdr:cNvPr id="2" name="Диаграмма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10261" cy="5615609"/>
    <xdr:graphicFrame macro="">
      <xdr:nvGraphicFramePr>
        <xdr:cNvPr id="2" name="Диаграмма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88780" cy="6065520"/>
    <xdr:graphicFrame macro="">
      <xdr:nvGraphicFramePr>
        <xdr:cNvPr id="2" name="Диаграмма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0F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9305925" cy="6076950"/>
    <xdr:graphicFrame macro="">
      <xdr:nvGraphicFramePr>
        <xdr:cNvPr id="2" name="Диаграмма 1">
          <a:extLst>
            <a:ext uri="{FF2B5EF4-FFF2-40B4-BE49-F238E27FC236}">
              <a16:creationId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635000" cy="635000"/>
    <xdr:graphicFrame macro="">
      <xdr:nvGraphicFramePr>
        <xdr:cNvPr id="2" name="Диаграмма 1">
          <a:extLst>
            <a:ext uri="{FF2B5EF4-FFF2-40B4-BE49-F238E27FC236}">
              <a16:creationId xmlns:a16="http://schemas.microsoft.com/office/drawing/2014/main" id="{00000000-0008-0000-1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1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3.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6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7.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2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8.xml><?xml version="1.0" encoding="utf-8"?>
<xdr:wsDr xmlns:xdr="http://schemas.openxmlformats.org/drawingml/2006/spreadsheetDrawing" xmlns:a="http://schemas.openxmlformats.org/drawingml/2006/main">
  <xdr:absoluteAnchor>
    <xdr:pos x="0" y="0"/>
    <xdr:ext cx="9961927" cy="6387867"/>
    <xdr:graphicFrame macro="">
      <xdr:nvGraphicFramePr>
        <xdr:cNvPr id="2" name="Диаграмма 1">
          <a:extLst>
            <a:ext uri="{FF2B5EF4-FFF2-40B4-BE49-F238E27FC236}">
              <a16:creationId xmlns:a16="http://schemas.microsoft.com/office/drawing/2014/main" id="{00000000-0008-0000-2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xdr:wsDr xmlns:xdr="http://schemas.openxmlformats.org/drawingml/2006/spreadsheetDrawing" xmlns:a="http://schemas.openxmlformats.org/drawingml/2006/main">
  <xdr:absoluteAnchor>
    <xdr:pos x="0" y="0"/>
    <xdr:ext cx="10036528" cy="6429375"/>
    <xdr:graphicFrame macro="">
      <xdr:nvGraphicFramePr>
        <xdr:cNvPr id="2" name="Диаграмма 1">
          <a:extLst>
            <a:ext uri="{FF2B5EF4-FFF2-40B4-BE49-F238E27FC236}">
              <a16:creationId xmlns:a16="http://schemas.microsoft.com/office/drawing/2014/main" id="{00000000-0008-0000-2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0.xml><?xml version="1.0" encoding="utf-8"?>
<xdr:wsDr xmlns:xdr="http://schemas.openxmlformats.org/drawingml/2006/spreadsheetDrawing" xmlns:a="http://schemas.openxmlformats.org/drawingml/2006/main">
  <xdr:absoluteAnchor>
    <xdr:pos x="0" y="0"/>
    <xdr:ext cx="9945584" cy="6382987"/>
    <xdr:graphicFrame macro="">
      <xdr:nvGraphicFramePr>
        <xdr:cNvPr id="2" name="Диаграмма 1">
          <a:extLst>
            <a:ext uri="{FF2B5EF4-FFF2-40B4-BE49-F238E27FC236}">
              <a16:creationId xmlns:a16="http://schemas.microsoft.com/office/drawing/2014/main" id="{00000000-0008-0000-2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1.xml><?xml version="1.0" encoding="utf-8"?>
<xdr:wsDr xmlns:xdr="http://schemas.openxmlformats.org/drawingml/2006/spreadsheetDrawing" xmlns:a="http://schemas.openxmlformats.org/drawingml/2006/main">
  <xdr:absoluteAnchor>
    <xdr:pos x="0" y="0"/>
    <xdr:ext cx="10036528" cy="6429375"/>
    <xdr:graphicFrame macro="">
      <xdr:nvGraphicFramePr>
        <xdr:cNvPr id="2" name="Диаграмма 1">
          <a:extLst>
            <a:ext uri="{FF2B5EF4-FFF2-40B4-BE49-F238E27FC236}">
              <a16:creationId xmlns:a16="http://schemas.microsoft.com/office/drawing/2014/main" id="{00000000-0008-0000-2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2.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xdr:wsDr xmlns:xdr="http://schemas.openxmlformats.org/drawingml/2006/spreadsheetDrawing" xmlns:a="http://schemas.openxmlformats.org/drawingml/2006/main">
  <xdr:absoluteAnchor>
    <xdr:pos x="0" y="0"/>
    <xdr:ext cx="9217742" cy="5622823"/>
    <xdr:graphicFrame macro="">
      <xdr:nvGraphicFramePr>
        <xdr:cNvPr id="2" name="Диаграмма 1">
          <a:extLst>
            <a:ext uri="{FF2B5EF4-FFF2-40B4-BE49-F238E27FC236}">
              <a16:creationId xmlns:a16="http://schemas.microsoft.com/office/drawing/2014/main" id="{00000000-0008-0000-3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4.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5.xml><?xml version="1.0" encoding="utf-8"?>
<xdr:wsDr xmlns:xdr="http://schemas.openxmlformats.org/drawingml/2006/spreadsheetDrawing" xmlns:a="http://schemas.openxmlformats.org/drawingml/2006/main">
  <xdr:absoluteAnchor>
    <xdr:pos x="0" y="0"/>
    <xdr:ext cx="9302750" cy="6080125"/>
    <xdr:graphicFrame macro="">
      <xdr:nvGraphicFramePr>
        <xdr:cNvPr id="2" name="Диаграмма 1">
          <a:extLst>
            <a:ext uri="{FF2B5EF4-FFF2-40B4-BE49-F238E27FC236}">
              <a16:creationId xmlns:a16="http://schemas.microsoft.com/office/drawing/2014/main" id="{00000000-0008-0000-3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3">
    <tabColor indexed="57"/>
    <outlinePr applyStyles="1" summaryBelow="0"/>
    <pageSetUpPr fitToPage="1"/>
  </sheetPr>
  <dimension ref="A1:O156"/>
  <sheetViews>
    <sheetView topLeftCell="A64" workbookViewId="0"/>
  </sheetViews>
  <sheetFormatPr defaultColWidth="9.109375" defaultRowHeight="10.199999999999999" outlineLevelRow="4" x14ac:dyDescent="0.2"/>
  <cols>
    <col min="1" max="1" width="52" style="12" customWidth="1"/>
    <col min="2" max="10" width="16.33203125" style="13" customWidth="1"/>
    <col min="11" max="11" width="9.109375" style="12" customWidth="1"/>
    <col min="12" max="16384" width="9.109375" style="12"/>
  </cols>
  <sheetData>
    <row r="1" spans="1:15" s="26" customFormat="1" ht="13.8" x14ac:dyDescent="0.3">
      <c r="A1" s="173"/>
      <c r="B1" s="27"/>
      <c r="C1" s="27"/>
      <c r="D1" s="27"/>
      <c r="E1" s="27"/>
      <c r="F1" s="27"/>
      <c r="G1" s="27"/>
      <c r="H1" s="27"/>
      <c r="I1" s="27"/>
      <c r="J1" s="27"/>
    </row>
    <row r="2" spans="1:15" s="34" customFormat="1" ht="18" x14ac:dyDescent="0.35">
      <c r="A2" s="5" t="str">
        <f>DEBT_AS_OF_CURR_YEAR</f>
        <v>Державний та гарантований державою борг України за поточний рік</v>
      </c>
      <c r="B2" s="5"/>
      <c r="C2" s="5"/>
      <c r="D2" s="5"/>
      <c r="E2" s="5"/>
      <c r="F2" s="5"/>
      <c r="G2" s="5"/>
      <c r="H2" s="5"/>
      <c r="I2" s="5"/>
      <c r="J2" s="5"/>
      <c r="K2" s="33"/>
      <c r="L2" s="33"/>
      <c r="M2" s="33"/>
      <c r="N2" s="33"/>
      <c r="O2" s="33"/>
    </row>
    <row r="3" spans="1:15" s="26" customFormat="1" ht="13.8" x14ac:dyDescent="0.3">
      <c r="B3" s="29"/>
      <c r="C3" s="29"/>
      <c r="D3" s="29"/>
      <c r="E3" s="29"/>
      <c r="F3" s="29"/>
      <c r="G3" s="29"/>
      <c r="H3" s="29"/>
      <c r="I3" s="29"/>
      <c r="J3" s="29"/>
      <c r="K3" s="30"/>
      <c r="L3" s="30"/>
      <c r="M3" s="30"/>
    </row>
    <row r="4" spans="1:15" s="31" customFormat="1" ht="13.8" x14ac:dyDescent="0.3">
      <c r="B4" s="32"/>
      <c r="C4" s="32"/>
      <c r="D4" s="32"/>
      <c r="E4" s="32"/>
      <c r="F4" s="32"/>
      <c r="G4" s="32"/>
      <c r="H4" s="32"/>
      <c r="I4" s="32"/>
      <c r="J4" s="32" t="str">
        <f>VALUAH</f>
        <v>млрд. грн</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DEBT_TOTAL</f>
        <v>Загальна сума державного та гарантованого державою боргу</v>
      </c>
      <c r="B6" s="25">
        <f t="shared" ref="B6:J6" si="0">B$37+B$7</f>
        <v>9042.6770279453904</v>
      </c>
      <c r="C6" s="25">
        <f t="shared" si="0"/>
        <v>9212.5998245738901</v>
      </c>
      <c r="D6" s="25">
        <f t="shared" si="0"/>
        <v>9211.1933697349305</v>
      </c>
      <c r="E6" s="25">
        <f t="shared" si="0"/>
        <v>9233.0278668776482</v>
      </c>
      <c r="F6" s="25">
        <f t="shared" si="0"/>
        <v>9345.510469896959</v>
      </c>
      <c r="G6" s="25">
        <f t="shared" si="0"/>
        <v>9316.8730357135209</v>
      </c>
      <c r="H6" s="25">
        <f t="shared" si="0"/>
        <v>9490.8752701868289</v>
      </c>
      <c r="I6" s="25">
        <f t="shared" si="0"/>
        <v>9572.4497813650305</v>
      </c>
      <c r="J6" s="25">
        <f t="shared" si="0"/>
        <v>9602.8930637009707</v>
      </c>
    </row>
    <row r="7" spans="1:15" s="140" customFormat="1" ht="14.4" outlineLevel="1" x14ac:dyDescent="0.25">
      <c r="A7" s="182" t="s">
        <v>3</v>
      </c>
      <c r="B7" s="183">
        <f t="shared" ref="B7:J7" si="1">B$8+B$23</f>
        <v>2031.50200194128</v>
      </c>
      <c r="C7" s="183">
        <f t="shared" si="1"/>
        <v>2055.3735050478704</v>
      </c>
      <c r="D7" s="183">
        <f t="shared" si="1"/>
        <v>2072.3017816432898</v>
      </c>
      <c r="E7" s="183">
        <f t="shared" si="1"/>
        <v>2077.05970968987</v>
      </c>
      <c r="F7" s="183">
        <f t="shared" si="1"/>
        <v>2068.3418798098</v>
      </c>
      <c r="G7" s="183">
        <f t="shared" si="1"/>
        <v>2053.6187634325397</v>
      </c>
      <c r="H7" s="183">
        <f t="shared" si="1"/>
        <v>2044.2039153139601</v>
      </c>
      <c r="I7" s="183">
        <f t="shared" si="1"/>
        <v>2074.6809489098305</v>
      </c>
      <c r="J7" s="183">
        <f t="shared" si="1"/>
        <v>2065.1785177859097</v>
      </c>
    </row>
    <row r="8" spans="1:15" s="21" customFormat="1" ht="14.4" outlineLevel="2" x14ac:dyDescent="0.25">
      <c r="A8" s="184" t="s">
        <v>1</v>
      </c>
      <c r="B8" s="185">
        <f t="shared" ref="B8:J8" si="2">B$9+B$21</f>
        <v>1967.2075927833</v>
      </c>
      <c r="C8" s="185">
        <f t="shared" si="2"/>
        <v>1992.6491649658003</v>
      </c>
      <c r="D8" s="185">
        <f t="shared" si="2"/>
        <v>2009.6169171505999</v>
      </c>
      <c r="E8" s="185">
        <f t="shared" si="2"/>
        <v>2013.8889646902801</v>
      </c>
      <c r="F8" s="185">
        <f t="shared" si="2"/>
        <v>2003.7288462791801</v>
      </c>
      <c r="G8" s="185">
        <f t="shared" si="2"/>
        <v>1988.8951878696798</v>
      </c>
      <c r="H8" s="185">
        <f t="shared" si="2"/>
        <v>1979.5199218805601</v>
      </c>
      <c r="I8" s="185">
        <f t="shared" si="2"/>
        <v>2011.1022027765603</v>
      </c>
      <c r="J8" s="185">
        <f t="shared" si="2"/>
        <v>2003.3651225245599</v>
      </c>
    </row>
    <row r="9" spans="1:15" s="22" customFormat="1" ht="13.8" outlineLevel="3" x14ac:dyDescent="0.25">
      <c r="A9" s="186" t="s">
        <v>4</v>
      </c>
      <c r="B9" s="187">
        <f t="shared" ref="B9:J9" si="3">SUM(B$10:B$20)</f>
        <v>1965.8850675579999</v>
      </c>
      <c r="C9" s="187">
        <f t="shared" si="3"/>
        <v>1991.3266397405002</v>
      </c>
      <c r="D9" s="187">
        <f t="shared" si="3"/>
        <v>2008.2943919252998</v>
      </c>
      <c r="E9" s="187">
        <f t="shared" si="3"/>
        <v>2012.5995025956001</v>
      </c>
      <c r="F9" s="187">
        <f t="shared" si="3"/>
        <v>2002.4393841845001</v>
      </c>
      <c r="G9" s="187">
        <f t="shared" si="3"/>
        <v>1987.6057257749999</v>
      </c>
      <c r="H9" s="187">
        <f t="shared" si="3"/>
        <v>1978.2635229165001</v>
      </c>
      <c r="I9" s="187">
        <f t="shared" si="3"/>
        <v>2009.8458038125002</v>
      </c>
      <c r="J9" s="187">
        <f t="shared" si="3"/>
        <v>2002.1087235604998</v>
      </c>
    </row>
    <row r="10" spans="1:15" s="24" customFormat="1" ht="13.8" outlineLevel="4" x14ac:dyDescent="0.25">
      <c r="A10" s="188" t="s">
        <v>7</v>
      </c>
      <c r="B10" s="180">
        <v>4.25</v>
      </c>
      <c r="C10" s="180">
        <v>4.25</v>
      </c>
      <c r="D10" s="180">
        <v>4.25</v>
      </c>
      <c r="E10" s="180">
        <v>4.25</v>
      </c>
      <c r="F10" s="180">
        <v>4.25</v>
      </c>
      <c r="G10" s="180">
        <v>4.25</v>
      </c>
      <c r="H10" s="180">
        <v>4.25</v>
      </c>
      <c r="I10" s="180">
        <v>4.25</v>
      </c>
      <c r="J10" s="180">
        <v>4.25</v>
      </c>
    </row>
    <row r="11" spans="1:15" ht="13.8" outlineLevel="4" x14ac:dyDescent="0.3">
      <c r="A11" s="189" t="s">
        <v>8</v>
      </c>
      <c r="B11" s="190">
        <v>23.9</v>
      </c>
      <c r="C11" s="190">
        <v>23.9</v>
      </c>
      <c r="D11" s="190">
        <v>23.9</v>
      </c>
      <c r="E11" s="190">
        <v>21.4</v>
      </c>
      <c r="F11" s="190">
        <v>18.899999999999999</v>
      </c>
      <c r="G11" s="190">
        <v>17.2</v>
      </c>
      <c r="H11" s="190">
        <v>15.2</v>
      </c>
      <c r="I11" s="190">
        <v>15.2</v>
      </c>
      <c r="J11" s="190">
        <v>15.2</v>
      </c>
      <c r="K11" s="15"/>
      <c r="L11" s="15"/>
      <c r="M11" s="15"/>
    </row>
    <row r="12" spans="1:15" ht="13.8" outlineLevel="4" x14ac:dyDescent="0.3">
      <c r="A12" s="189" t="s">
        <v>9</v>
      </c>
      <c r="B12" s="190">
        <v>110.259998</v>
      </c>
      <c r="C12" s="190">
        <v>106.94099799999999</v>
      </c>
      <c r="D12" s="190">
        <v>106.94099799999999</v>
      </c>
      <c r="E12" s="190">
        <v>106.94099799999999</v>
      </c>
      <c r="F12" s="190">
        <v>106.94099799999999</v>
      </c>
      <c r="G12" s="190">
        <v>106.94099799999999</v>
      </c>
      <c r="H12" s="190">
        <v>106.94099799999999</v>
      </c>
      <c r="I12" s="190">
        <v>106.94099799999999</v>
      </c>
      <c r="J12" s="190">
        <v>106.94099799999999</v>
      </c>
      <c r="K12" s="15"/>
      <c r="L12" s="15"/>
      <c r="M12" s="15"/>
    </row>
    <row r="13" spans="1:15" ht="13.8" outlineLevel="4" x14ac:dyDescent="0.3">
      <c r="A13" s="189" t="s">
        <v>10</v>
      </c>
      <c r="B13" s="190">
        <v>285.266908</v>
      </c>
      <c r="C13" s="190">
        <v>285.266908</v>
      </c>
      <c r="D13" s="190">
        <v>285.266908</v>
      </c>
      <c r="E13" s="190">
        <v>285.266908</v>
      </c>
      <c r="F13" s="190">
        <v>285.266908</v>
      </c>
      <c r="G13" s="190">
        <v>285.266908</v>
      </c>
      <c r="H13" s="190">
        <v>285.266908</v>
      </c>
      <c r="I13" s="190">
        <v>285.266908</v>
      </c>
      <c r="J13" s="190">
        <v>285.266908</v>
      </c>
      <c r="K13" s="15"/>
      <c r="L13" s="15"/>
      <c r="M13" s="15"/>
    </row>
    <row r="14" spans="1:15" ht="13.8" outlineLevel="4" x14ac:dyDescent="0.3">
      <c r="A14" s="189" t="s">
        <v>13</v>
      </c>
      <c r="B14" s="190">
        <v>10.714916000000001</v>
      </c>
      <c r="C14" s="190">
        <v>10.714916000000001</v>
      </c>
      <c r="D14" s="190">
        <v>10.714916000000001</v>
      </c>
      <c r="E14" s="190">
        <v>10.714916000000001</v>
      </c>
      <c r="F14" s="190">
        <v>10.714916000000001</v>
      </c>
      <c r="G14" s="190">
        <v>10.714916000000001</v>
      </c>
      <c r="H14" s="190">
        <v>10.714916000000001</v>
      </c>
      <c r="I14" s="190">
        <v>10.714916000000001</v>
      </c>
      <c r="J14" s="190">
        <v>10.714916000000001</v>
      </c>
      <c r="K14" s="15"/>
      <c r="L14" s="15"/>
      <c r="M14" s="15"/>
    </row>
    <row r="15" spans="1:15" ht="13.8" outlineLevel="4" x14ac:dyDescent="0.3">
      <c r="A15" s="189" t="s">
        <v>14</v>
      </c>
      <c r="B15" s="190">
        <v>39.165810999999998</v>
      </c>
      <c r="C15" s="190">
        <v>39.165810999999998</v>
      </c>
      <c r="D15" s="190">
        <v>39.165810999999998</v>
      </c>
      <c r="E15" s="190">
        <v>39.165810999999998</v>
      </c>
      <c r="F15" s="190">
        <v>39.165810999999998</v>
      </c>
      <c r="G15" s="190">
        <v>28.217123000000001</v>
      </c>
      <c r="H15" s="190">
        <v>28.217123000000001</v>
      </c>
      <c r="I15" s="190">
        <v>28.217123000000001</v>
      </c>
      <c r="J15" s="190">
        <v>28.217123000000001</v>
      </c>
      <c r="K15" s="15"/>
      <c r="L15" s="15"/>
      <c r="M15" s="15"/>
    </row>
    <row r="16" spans="1:15" ht="13.8" outlineLevel="4" x14ac:dyDescent="0.3">
      <c r="A16" s="189" t="s">
        <v>15</v>
      </c>
      <c r="B16" s="190">
        <v>430.13350000000003</v>
      </c>
      <c r="C16" s="190">
        <v>430.13350000000003</v>
      </c>
      <c r="D16" s="190">
        <v>430.13350000000003</v>
      </c>
      <c r="E16" s="190">
        <v>430.13350000000003</v>
      </c>
      <c r="F16" s="190">
        <v>430.13350000000003</v>
      </c>
      <c r="G16" s="190">
        <v>430.01295199999998</v>
      </c>
      <c r="H16" s="190">
        <v>430.01295199999998</v>
      </c>
      <c r="I16" s="190">
        <v>430.01295199999998</v>
      </c>
      <c r="J16" s="190">
        <v>430.01295199999998</v>
      </c>
      <c r="K16" s="15"/>
      <c r="L16" s="15"/>
      <c r="M16" s="15"/>
    </row>
    <row r="17" spans="1:13" ht="13.8" outlineLevel="4" x14ac:dyDescent="0.3">
      <c r="A17" s="189" t="s">
        <v>16</v>
      </c>
      <c r="B17" s="190">
        <v>95.211151999999998</v>
      </c>
      <c r="C17" s="190">
        <v>78.782505</v>
      </c>
      <c r="D17" s="190">
        <v>75.261842000000001</v>
      </c>
      <c r="E17" s="190">
        <v>75.261842000000001</v>
      </c>
      <c r="F17" s="190">
        <v>75.261842000000001</v>
      </c>
      <c r="G17" s="190">
        <v>75.261842000000001</v>
      </c>
      <c r="H17" s="190">
        <v>59.482035000000003</v>
      </c>
      <c r="I17" s="190">
        <v>55.274583999999997</v>
      </c>
      <c r="J17" s="190">
        <v>41.383262999999999</v>
      </c>
      <c r="K17" s="15"/>
      <c r="L17" s="15"/>
      <c r="M17" s="15"/>
    </row>
    <row r="18" spans="1:13" ht="13.8" outlineLevel="4" x14ac:dyDescent="0.3">
      <c r="A18" s="189" t="s">
        <v>17</v>
      </c>
      <c r="B18" s="190">
        <v>381.66207600000001</v>
      </c>
      <c r="C18" s="190">
        <v>363.20119399999999</v>
      </c>
      <c r="D18" s="190">
        <v>338.671311</v>
      </c>
      <c r="E18" s="190">
        <v>319.65551099999999</v>
      </c>
      <c r="F18" s="190">
        <v>303.37284299999999</v>
      </c>
      <c r="G18" s="190">
        <v>285.01631600000002</v>
      </c>
      <c r="H18" s="190">
        <v>274.30578000000003</v>
      </c>
      <c r="I18" s="190">
        <v>260.152309</v>
      </c>
      <c r="J18" s="190">
        <v>254.21695</v>
      </c>
      <c r="K18" s="15"/>
      <c r="L18" s="15"/>
      <c r="M18" s="15"/>
    </row>
    <row r="19" spans="1:13" ht="13.8" outlineLevel="4" x14ac:dyDescent="0.3">
      <c r="A19" s="189" t="s">
        <v>18</v>
      </c>
      <c r="B19" s="190">
        <v>585.32070655799998</v>
      </c>
      <c r="C19" s="190">
        <v>587.50755574050004</v>
      </c>
      <c r="D19" s="190">
        <v>568.24116659849994</v>
      </c>
      <c r="E19" s="190">
        <v>568.84807823250003</v>
      </c>
      <c r="F19" s="190">
        <v>551.83721562539995</v>
      </c>
      <c r="G19" s="190">
        <v>552.07763778389995</v>
      </c>
      <c r="H19" s="190">
        <v>533.01228351719999</v>
      </c>
      <c r="I19" s="190">
        <v>513.88242593660004</v>
      </c>
      <c r="J19" s="190">
        <v>492.98721780170001</v>
      </c>
      <c r="K19" s="15"/>
      <c r="L19" s="15"/>
      <c r="M19" s="15"/>
    </row>
    <row r="20" spans="1:13" ht="13.8" outlineLevel="4" x14ac:dyDescent="0.3">
      <c r="A20" s="189" t="s">
        <v>19</v>
      </c>
      <c r="B20" s="190">
        <v>0</v>
      </c>
      <c r="C20" s="190">
        <v>61.463251999999997</v>
      </c>
      <c r="D20" s="190">
        <v>125.74793932679999</v>
      </c>
      <c r="E20" s="190">
        <v>150.96193836309999</v>
      </c>
      <c r="F20" s="190">
        <v>176.59535055910001</v>
      </c>
      <c r="G20" s="190">
        <v>192.64703299109999</v>
      </c>
      <c r="H20" s="190">
        <v>230.8605273993</v>
      </c>
      <c r="I20" s="190">
        <v>299.9335878759</v>
      </c>
      <c r="J20" s="190">
        <v>332.91839575879999</v>
      </c>
      <c r="K20" s="15"/>
      <c r="L20" s="15"/>
      <c r="M20" s="15"/>
    </row>
    <row r="21" spans="1:13" ht="13.8" outlineLevel="3" x14ac:dyDescent="0.3">
      <c r="A21" s="191" t="s">
        <v>20</v>
      </c>
      <c r="B21" s="190">
        <f t="shared" ref="B21:J21" si="4">SUM(B$22:B$22)</f>
        <v>1.3225252252999999</v>
      </c>
      <c r="C21" s="190">
        <f t="shared" si="4"/>
        <v>1.3225252252999999</v>
      </c>
      <c r="D21" s="190">
        <f t="shared" si="4"/>
        <v>1.3225252252999999</v>
      </c>
      <c r="E21" s="190">
        <f t="shared" si="4"/>
        <v>1.2894620946799999</v>
      </c>
      <c r="F21" s="190">
        <f t="shared" si="4"/>
        <v>1.2894620946799999</v>
      </c>
      <c r="G21" s="190">
        <f t="shared" si="4"/>
        <v>1.2894620946799999</v>
      </c>
      <c r="H21" s="190">
        <f t="shared" si="4"/>
        <v>1.25639896406</v>
      </c>
      <c r="I21" s="190">
        <f t="shared" si="4"/>
        <v>1.25639896406</v>
      </c>
      <c r="J21" s="190">
        <f t="shared" si="4"/>
        <v>1.25639896406</v>
      </c>
      <c r="K21" s="15"/>
      <c r="L21" s="15"/>
      <c r="M21" s="15"/>
    </row>
    <row r="22" spans="1:13" ht="13.8" outlineLevel="4" x14ac:dyDescent="0.3">
      <c r="A22" s="189" t="s">
        <v>21</v>
      </c>
      <c r="B22" s="190">
        <v>1.3225252252999999</v>
      </c>
      <c r="C22" s="190">
        <v>1.3225252252999999</v>
      </c>
      <c r="D22" s="190">
        <v>1.3225252252999999</v>
      </c>
      <c r="E22" s="190">
        <v>1.2894620946799999</v>
      </c>
      <c r="F22" s="190">
        <v>1.2894620946799999</v>
      </c>
      <c r="G22" s="190">
        <v>1.2894620946799999</v>
      </c>
      <c r="H22" s="190">
        <v>1.25639896406</v>
      </c>
      <c r="I22" s="190">
        <v>1.25639896406</v>
      </c>
      <c r="J22" s="190">
        <v>1.25639896406</v>
      </c>
      <c r="K22" s="15"/>
      <c r="L22" s="15"/>
      <c r="M22" s="15"/>
    </row>
    <row r="23" spans="1:13" ht="14.4" outlineLevel="2" x14ac:dyDescent="0.3">
      <c r="A23" s="192" t="s">
        <v>2</v>
      </c>
      <c r="B23" s="193">
        <f t="shared" ref="B23:J23" si="5">B$24+B$27+B$35</f>
        <v>64.294409157979999</v>
      </c>
      <c r="C23" s="193">
        <f t="shared" si="5"/>
        <v>62.72434008207</v>
      </c>
      <c r="D23" s="193">
        <f t="shared" si="5"/>
        <v>62.684864492689996</v>
      </c>
      <c r="E23" s="193">
        <f t="shared" si="5"/>
        <v>63.170744999589999</v>
      </c>
      <c r="F23" s="193">
        <f t="shared" si="5"/>
        <v>64.613033530619987</v>
      </c>
      <c r="G23" s="193">
        <f t="shared" si="5"/>
        <v>64.723575562860006</v>
      </c>
      <c r="H23" s="193">
        <f t="shared" si="5"/>
        <v>64.683993433400005</v>
      </c>
      <c r="I23" s="193">
        <f t="shared" si="5"/>
        <v>63.578746133270002</v>
      </c>
      <c r="J23" s="193">
        <f t="shared" si="5"/>
        <v>61.813395261350003</v>
      </c>
      <c r="K23" s="15"/>
      <c r="L23" s="15"/>
      <c r="M23" s="15"/>
    </row>
    <row r="24" spans="1:13" ht="13.8" outlineLevel="3" x14ac:dyDescent="0.3">
      <c r="A24" s="191" t="s">
        <v>4</v>
      </c>
      <c r="B24" s="190">
        <f t="shared" ref="B24:J24" si="6">SUM(B$25:B$26)</f>
        <v>2.4750116000000002</v>
      </c>
      <c r="C24" s="190">
        <f t="shared" si="6"/>
        <v>2.4750116000000002</v>
      </c>
      <c r="D24" s="190">
        <f t="shared" si="6"/>
        <v>2.4750116000000002</v>
      </c>
      <c r="E24" s="190">
        <f t="shared" si="6"/>
        <v>2.4750116000000002</v>
      </c>
      <c r="F24" s="190">
        <f t="shared" si="6"/>
        <v>2.4750116000000002</v>
      </c>
      <c r="G24" s="190">
        <f t="shared" si="6"/>
        <v>2.4750116000000002</v>
      </c>
      <c r="H24" s="190">
        <f t="shared" si="6"/>
        <v>2.4750116000000002</v>
      </c>
      <c r="I24" s="190">
        <f t="shared" si="6"/>
        <v>2.4750116000000002</v>
      </c>
      <c r="J24" s="190">
        <f t="shared" si="6"/>
        <v>2.4750116000000002</v>
      </c>
      <c r="K24" s="15"/>
      <c r="L24" s="15"/>
      <c r="M24" s="15"/>
    </row>
    <row r="25" spans="1:13" ht="13.8" outlineLevel="4" x14ac:dyDescent="0.3">
      <c r="A25" s="189" t="s">
        <v>66</v>
      </c>
      <c r="B25" s="190">
        <v>1.1600000000000001E-5</v>
      </c>
      <c r="C25" s="190">
        <v>1.1600000000000001E-5</v>
      </c>
      <c r="D25" s="190">
        <v>1.1600000000000001E-5</v>
      </c>
      <c r="E25" s="190">
        <v>1.1600000000000001E-5</v>
      </c>
      <c r="F25" s="190">
        <v>1.1600000000000001E-5</v>
      </c>
      <c r="G25" s="190">
        <v>1.1600000000000001E-5</v>
      </c>
      <c r="H25" s="190">
        <v>1.1600000000000001E-5</v>
      </c>
      <c r="I25" s="190">
        <v>1.1600000000000001E-5</v>
      </c>
      <c r="J25" s="190">
        <v>1.1600000000000001E-5</v>
      </c>
      <c r="K25" s="15"/>
      <c r="L25" s="15"/>
      <c r="M25" s="15"/>
    </row>
    <row r="26" spans="1:13" ht="13.8" outlineLevel="4" x14ac:dyDescent="0.3">
      <c r="A26" s="189" t="s">
        <v>67</v>
      </c>
      <c r="B26" s="190">
        <v>2.4750000000000001</v>
      </c>
      <c r="C26" s="190">
        <v>2.4750000000000001</v>
      </c>
      <c r="D26" s="190">
        <v>2.4750000000000001</v>
      </c>
      <c r="E26" s="190">
        <v>2.4750000000000001</v>
      </c>
      <c r="F26" s="190">
        <v>2.4750000000000001</v>
      </c>
      <c r="G26" s="190">
        <v>2.4750000000000001</v>
      </c>
      <c r="H26" s="190">
        <v>2.4750000000000001</v>
      </c>
      <c r="I26" s="190">
        <v>2.4750000000000001</v>
      </c>
      <c r="J26" s="190">
        <v>2.4750000000000001</v>
      </c>
      <c r="K26" s="15"/>
      <c r="L26" s="15"/>
      <c r="M26" s="15"/>
    </row>
    <row r="27" spans="1:13" ht="13.8" outlineLevel="3" x14ac:dyDescent="0.3">
      <c r="A27" s="191" t="s">
        <v>20</v>
      </c>
      <c r="B27" s="190">
        <f t="shared" ref="B27:J27" si="7">SUM(B$28:B$34)</f>
        <v>61.81844290798</v>
      </c>
      <c r="C27" s="190">
        <f t="shared" si="7"/>
        <v>60.248373832070001</v>
      </c>
      <c r="D27" s="190">
        <f t="shared" si="7"/>
        <v>60.208898242689997</v>
      </c>
      <c r="E27" s="190">
        <f t="shared" si="7"/>
        <v>60.69477874959</v>
      </c>
      <c r="F27" s="190">
        <f t="shared" si="7"/>
        <v>62.137067280619995</v>
      </c>
      <c r="G27" s="190">
        <f t="shared" si="7"/>
        <v>62.247609312860007</v>
      </c>
      <c r="H27" s="190">
        <f t="shared" si="7"/>
        <v>62.208027183400006</v>
      </c>
      <c r="I27" s="190">
        <f t="shared" si="7"/>
        <v>61.102779883270003</v>
      </c>
      <c r="J27" s="190">
        <f t="shared" si="7"/>
        <v>59.337429011350004</v>
      </c>
      <c r="K27" s="15"/>
      <c r="L27" s="15"/>
      <c r="M27" s="15"/>
    </row>
    <row r="28" spans="1:13" ht="13.8" outlineLevel="4" x14ac:dyDescent="0.3">
      <c r="A28" s="189" t="s">
        <v>72</v>
      </c>
      <c r="B28" s="190">
        <v>1.5222507644000001</v>
      </c>
      <c r="C28" s="190">
        <v>1.4493169236400001</v>
      </c>
      <c r="D28" s="190">
        <v>1.3964207206100001</v>
      </c>
      <c r="E28" s="190">
        <v>1.4561805356799999</v>
      </c>
      <c r="F28" s="190">
        <v>1.4910626625800001</v>
      </c>
      <c r="G28" s="190">
        <v>1.5229270317200001</v>
      </c>
      <c r="H28" s="190">
        <v>1.4415608049799999</v>
      </c>
      <c r="I28" s="190">
        <v>1.40296847286</v>
      </c>
      <c r="J28" s="190">
        <v>1.3816127654599999</v>
      </c>
      <c r="K28" s="15"/>
      <c r="L28" s="15"/>
      <c r="M28" s="15"/>
    </row>
    <row r="29" spans="1:13" ht="13.8" outlineLevel="4" x14ac:dyDescent="0.3">
      <c r="A29" s="189" t="s">
        <v>73</v>
      </c>
      <c r="B29" s="190">
        <v>0.12245364575999999</v>
      </c>
      <c r="C29" s="190">
        <v>0.10831098194</v>
      </c>
      <c r="D29" s="190">
        <v>9.3617551440000002E-2</v>
      </c>
      <c r="E29" s="190">
        <v>7.9075209839999994E-2</v>
      </c>
      <c r="F29" s="190">
        <v>6.3674001569999999E-2</v>
      </c>
      <c r="G29" s="190">
        <v>4.7954076620000001E-2</v>
      </c>
      <c r="H29" s="190">
        <v>3.2390079469999999E-2</v>
      </c>
      <c r="I29" s="190">
        <v>1.6138635070000001E-2</v>
      </c>
      <c r="J29" s="190">
        <v>0</v>
      </c>
      <c r="K29" s="15"/>
      <c r="L29" s="15"/>
      <c r="M29" s="15"/>
    </row>
    <row r="30" spans="1:13" ht="13.8" outlineLevel="4" x14ac:dyDescent="0.3">
      <c r="A30" s="189" t="s">
        <v>74</v>
      </c>
      <c r="B30" s="190">
        <v>10.22976537528</v>
      </c>
      <c r="C30" s="190">
        <v>10.10324263927</v>
      </c>
      <c r="D30" s="190">
        <v>10.18445169752</v>
      </c>
      <c r="E30" s="190">
        <v>9.9761538618600003</v>
      </c>
      <c r="F30" s="190">
        <v>9.2930399490699998</v>
      </c>
      <c r="G30" s="190">
        <v>8.9526348471099997</v>
      </c>
      <c r="H30" s="190">
        <v>8.4628118889599993</v>
      </c>
      <c r="I30" s="190">
        <v>7.9543771734000002</v>
      </c>
      <c r="J30" s="190">
        <v>7.7134575091700004</v>
      </c>
      <c r="K30" s="15"/>
      <c r="L30" s="15"/>
      <c r="M30" s="15"/>
    </row>
    <row r="31" spans="1:13" ht="13.8" outlineLevel="4" x14ac:dyDescent="0.3">
      <c r="A31" s="189" t="s">
        <v>75</v>
      </c>
      <c r="B31" s="190">
        <v>14.832616250719999</v>
      </c>
      <c r="C31" s="190">
        <v>14.360995068639999</v>
      </c>
      <c r="D31" s="190">
        <v>14.12000316798</v>
      </c>
      <c r="E31" s="190">
        <v>14.06139472279</v>
      </c>
      <c r="F31" s="190">
        <v>14.19304725814</v>
      </c>
      <c r="G31" s="190">
        <v>14.031900198220001</v>
      </c>
      <c r="H31" s="190">
        <v>13.91613693223</v>
      </c>
      <c r="I31" s="190">
        <v>14.02644276891</v>
      </c>
      <c r="J31" s="190">
        <v>13.56501437673</v>
      </c>
      <c r="K31" s="15"/>
      <c r="L31" s="15"/>
      <c r="M31" s="15"/>
    </row>
    <row r="32" spans="1:13" ht="13.8" outlineLevel="4" x14ac:dyDescent="0.3">
      <c r="A32" s="189" t="s">
        <v>76</v>
      </c>
      <c r="B32" s="190">
        <v>9.4195108469999997E-2</v>
      </c>
      <c r="C32" s="190">
        <v>8.3316136129999996E-2</v>
      </c>
      <c r="D32" s="190">
        <v>7.2013497120000006E-2</v>
      </c>
      <c r="E32" s="190">
        <v>6.0827080319999997E-2</v>
      </c>
      <c r="F32" s="190">
        <v>4.897999687E-2</v>
      </c>
      <c r="G32" s="190">
        <v>3.6887746749999999E-2</v>
      </c>
      <c r="H32" s="190">
        <v>2.4915441060000001E-2</v>
      </c>
      <c r="I32" s="190">
        <v>1.241432986E-2</v>
      </c>
      <c r="J32" s="190">
        <v>0</v>
      </c>
      <c r="K32" s="15"/>
      <c r="L32" s="15"/>
      <c r="M32" s="15"/>
    </row>
    <row r="33" spans="1:13" ht="13.8" outlineLevel="4" x14ac:dyDescent="0.3">
      <c r="A33" s="189" t="s">
        <v>77</v>
      </c>
      <c r="B33" s="190">
        <v>0.13187315424000001</v>
      </c>
      <c r="C33" s="190">
        <v>0.11664259305999999</v>
      </c>
      <c r="D33" s="190">
        <v>0.10081889855999999</v>
      </c>
      <c r="E33" s="190">
        <v>8.515791516E-2</v>
      </c>
      <c r="F33" s="190">
        <v>6.8571998430000003E-2</v>
      </c>
      <c r="G33" s="190">
        <v>5.1642848380000002E-2</v>
      </c>
      <c r="H33" s="190">
        <v>3.4881620529999997E-2</v>
      </c>
      <c r="I33" s="190">
        <v>1.7380064930000001E-2</v>
      </c>
      <c r="J33" s="190">
        <v>0</v>
      </c>
      <c r="K33" s="15"/>
      <c r="L33" s="15"/>
      <c r="M33" s="15"/>
    </row>
    <row r="34" spans="1:13" ht="13.8" outlineLevel="4" x14ac:dyDescent="0.3">
      <c r="A34" s="189" t="s">
        <v>78</v>
      </c>
      <c r="B34" s="190">
        <v>34.885288609109999</v>
      </c>
      <c r="C34" s="190">
        <v>34.02654948939</v>
      </c>
      <c r="D34" s="190">
        <v>34.241572709460002</v>
      </c>
      <c r="E34" s="190">
        <v>34.97598942394</v>
      </c>
      <c r="F34" s="190">
        <v>36.97869141396</v>
      </c>
      <c r="G34" s="190">
        <v>37.603662564060002</v>
      </c>
      <c r="H34" s="190">
        <v>38.295330416170003</v>
      </c>
      <c r="I34" s="190">
        <v>37.673058438239998</v>
      </c>
      <c r="J34" s="190">
        <v>36.677344359990002</v>
      </c>
      <c r="K34" s="15"/>
      <c r="L34" s="15"/>
      <c r="M34" s="15"/>
    </row>
    <row r="35" spans="1:13" ht="13.8" outlineLevel="3" x14ac:dyDescent="0.3">
      <c r="A35" s="191" t="s">
        <v>79</v>
      </c>
      <c r="B35" s="190">
        <f t="shared" ref="B35:J35" si="8">SUM(B$36:B$36)</f>
        <v>9.5465000000000003E-4</v>
      </c>
      <c r="C35" s="190">
        <f t="shared" si="8"/>
        <v>9.5465000000000003E-4</v>
      </c>
      <c r="D35" s="190">
        <f t="shared" si="8"/>
        <v>9.5465000000000003E-4</v>
      </c>
      <c r="E35" s="190">
        <f t="shared" si="8"/>
        <v>9.5465000000000003E-4</v>
      </c>
      <c r="F35" s="190">
        <f t="shared" si="8"/>
        <v>9.5465000000000003E-4</v>
      </c>
      <c r="G35" s="190">
        <f t="shared" si="8"/>
        <v>9.5465000000000003E-4</v>
      </c>
      <c r="H35" s="190">
        <f t="shared" si="8"/>
        <v>9.5465000000000003E-4</v>
      </c>
      <c r="I35" s="190">
        <f t="shared" si="8"/>
        <v>9.5465000000000003E-4</v>
      </c>
      <c r="J35" s="190">
        <f t="shared" si="8"/>
        <v>9.5465000000000003E-4</v>
      </c>
      <c r="K35" s="15"/>
      <c r="L35" s="15"/>
      <c r="M35" s="15"/>
    </row>
    <row r="36" spans="1:13" ht="13.8" outlineLevel="4" x14ac:dyDescent="0.3">
      <c r="A36" s="189" t="s">
        <v>80</v>
      </c>
      <c r="B36" s="190">
        <v>9.5465000000000003E-4</v>
      </c>
      <c r="C36" s="190">
        <v>9.5465000000000003E-4</v>
      </c>
      <c r="D36" s="190">
        <v>9.5465000000000003E-4</v>
      </c>
      <c r="E36" s="190">
        <v>9.5465000000000003E-4</v>
      </c>
      <c r="F36" s="190">
        <v>9.5465000000000003E-4</v>
      </c>
      <c r="G36" s="190">
        <v>9.5465000000000003E-4</v>
      </c>
      <c r="H36" s="190">
        <v>9.5465000000000003E-4</v>
      </c>
      <c r="I36" s="190">
        <v>9.5465000000000003E-4</v>
      </c>
      <c r="J36" s="190">
        <v>9.5465000000000003E-4</v>
      </c>
      <c r="K36" s="15"/>
      <c r="L36" s="15"/>
      <c r="M36" s="15"/>
    </row>
    <row r="37" spans="1:13" ht="14.4" outlineLevel="1" x14ac:dyDescent="0.3">
      <c r="A37" s="194" t="s">
        <v>22</v>
      </c>
      <c r="B37" s="195">
        <f t="shared" ref="B37:J37" si="9">B$38+B$77</f>
        <v>7011.1750260041099</v>
      </c>
      <c r="C37" s="195">
        <f t="shared" si="9"/>
        <v>7157.2263195260202</v>
      </c>
      <c r="D37" s="195">
        <f t="shared" si="9"/>
        <v>7138.8915880916402</v>
      </c>
      <c r="E37" s="195">
        <f t="shared" si="9"/>
        <v>7155.9681571877791</v>
      </c>
      <c r="F37" s="195">
        <f t="shared" si="9"/>
        <v>7277.1685900871589</v>
      </c>
      <c r="G37" s="195">
        <f t="shared" si="9"/>
        <v>7263.2542722809803</v>
      </c>
      <c r="H37" s="195">
        <f t="shared" si="9"/>
        <v>7446.6713548728685</v>
      </c>
      <c r="I37" s="195">
        <f t="shared" si="9"/>
        <v>7497.7688324551991</v>
      </c>
      <c r="J37" s="195">
        <f t="shared" si="9"/>
        <v>7537.7145459150606</v>
      </c>
      <c r="K37" s="15"/>
      <c r="L37" s="15"/>
      <c r="M37" s="15"/>
    </row>
    <row r="38" spans="1:13" ht="14.4" outlineLevel="2" x14ac:dyDescent="0.3">
      <c r="A38" s="192" t="s">
        <v>1</v>
      </c>
      <c r="B38" s="193">
        <f t="shared" ref="B38:J38" si="10">B$39+B$50+B$61+B$63+B$70+B$73+B$75</f>
        <v>6798.7864328169699</v>
      </c>
      <c r="C38" s="193">
        <f t="shared" si="10"/>
        <v>6941.1094643926899</v>
      </c>
      <c r="D38" s="193">
        <f t="shared" si="10"/>
        <v>6931.0256712298606</v>
      </c>
      <c r="E38" s="193">
        <f t="shared" si="10"/>
        <v>6959.1773971222992</v>
      </c>
      <c r="F38" s="193">
        <f t="shared" si="10"/>
        <v>7082.4209233933889</v>
      </c>
      <c r="G38" s="193">
        <f t="shared" si="10"/>
        <v>7066.9260248738301</v>
      </c>
      <c r="H38" s="193">
        <f t="shared" si="10"/>
        <v>7249.2725614648389</v>
      </c>
      <c r="I38" s="193">
        <f t="shared" si="10"/>
        <v>7300.3888172145789</v>
      </c>
      <c r="J38" s="193">
        <f t="shared" si="10"/>
        <v>7341.7155526181605</v>
      </c>
      <c r="K38" s="15"/>
      <c r="L38" s="15"/>
      <c r="M38" s="15"/>
    </row>
    <row r="39" spans="1:13" ht="13.8" outlineLevel="3" x14ac:dyDescent="0.3">
      <c r="A39" s="191" t="s">
        <v>23</v>
      </c>
      <c r="B39" s="190">
        <f t="shared" ref="B39:J39" si="11">SUM(B$40:B$49)</f>
        <v>5234.2600089153393</v>
      </c>
      <c r="C39" s="190">
        <f t="shared" si="11"/>
        <v>5351.3957927535303</v>
      </c>
      <c r="D39" s="190">
        <f t="shared" si="11"/>
        <v>5335.6329492285204</v>
      </c>
      <c r="E39" s="190">
        <f t="shared" si="11"/>
        <v>5351.7872623984504</v>
      </c>
      <c r="F39" s="190">
        <f t="shared" si="11"/>
        <v>5454.1406220530089</v>
      </c>
      <c r="G39" s="190">
        <f t="shared" si="11"/>
        <v>5433.4450344487104</v>
      </c>
      <c r="H39" s="190">
        <f t="shared" si="11"/>
        <v>5606.2886483789498</v>
      </c>
      <c r="I39" s="190">
        <f t="shared" si="11"/>
        <v>5657.576058586239</v>
      </c>
      <c r="J39" s="190">
        <f t="shared" si="11"/>
        <v>5695.6404242189501</v>
      </c>
      <c r="K39" s="15"/>
      <c r="L39" s="15"/>
      <c r="M39" s="15"/>
    </row>
    <row r="40" spans="1:13" ht="13.8" outlineLevel="4" x14ac:dyDescent="0.3">
      <c r="A40" s="189" t="s">
        <v>24</v>
      </c>
      <c r="B40" s="190">
        <v>0.48614260887999999</v>
      </c>
      <c r="C40" s="190">
        <v>0.49965531889999998</v>
      </c>
      <c r="D40" s="190">
        <v>0.4975306115</v>
      </c>
      <c r="E40" s="190">
        <v>0.45992535026999998</v>
      </c>
      <c r="F40" s="190">
        <v>0.47151665784000002</v>
      </c>
      <c r="G40" s="190">
        <v>0.47020029483999998</v>
      </c>
      <c r="H40" s="190">
        <v>0.46773759905000001</v>
      </c>
      <c r="I40" s="190">
        <v>0.46872304302000001</v>
      </c>
      <c r="J40" s="190">
        <v>0.47425999490999998</v>
      </c>
      <c r="K40" s="15"/>
      <c r="L40" s="15"/>
      <c r="M40" s="15"/>
    </row>
    <row r="41" spans="1:13" ht="13.8" outlineLevel="4" x14ac:dyDescent="0.3">
      <c r="A41" s="189" t="s">
        <v>25</v>
      </c>
      <c r="B41" s="190">
        <v>22.867781216129998</v>
      </c>
      <c r="C41" s="190">
        <v>23.503408891749999</v>
      </c>
      <c r="D41" s="190">
        <v>23.40346426012</v>
      </c>
      <c r="E41" s="190">
        <v>23.07684391966</v>
      </c>
      <c r="F41" s="190">
        <v>23.65844003214</v>
      </c>
      <c r="G41" s="190">
        <v>24.878298762269999</v>
      </c>
      <c r="H41" s="190">
        <v>24.747997521969999</v>
      </c>
      <c r="I41" s="190">
        <v>24.800137364969999</v>
      </c>
      <c r="J41" s="190">
        <v>26.571688903249999</v>
      </c>
      <c r="K41" s="15"/>
      <c r="L41" s="15"/>
      <c r="M41" s="15"/>
    </row>
    <row r="42" spans="1:13" ht="13.8" outlineLevel="4" x14ac:dyDescent="0.3">
      <c r="A42" s="189" t="s">
        <v>26</v>
      </c>
      <c r="B42" s="190">
        <v>2.67230830477</v>
      </c>
      <c r="C42" s="190">
        <v>2.75950297242</v>
      </c>
      <c r="D42" s="190">
        <v>2.76113340754</v>
      </c>
      <c r="E42" s="190">
        <v>2.7598691078400002</v>
      </c>
      <c r="F42" s="190">
        <v>2.7718798694400002</v>
      </c>
      <c r="G42" s="190">
        <v>2.8042889195099998</v>
      </c>
      <c r="H42" s="190">
        <v>2.7479411266099998</v>
      </c>
      <c r="I42" s="190">
        <v>2.9262825331600002</v>
      </c>
      <c r="J42" s="190">
        <v>2.96085025038</v>
      </c>
      <c r="K42" s="15"/>
      <c r="L42" s="15"/>
      <c r="M42" s="15"/>
    </row>
    <row r="43" spans="1:13" ht="13.8" outlineLevel="4" x14ac:dyDescent="0.3">
      <c r="A43" s="189" t="s">
        <v>27</v>
      </c>
      <c r="B43" s="190">
        <v>142.48457794754</v>
      </c>
      <c r="C43" s="190">
        <v>146.44504705627</v>
      </c>
      <c r="D43" s="190">
        <v>145.23636503838</v>
      </c>
      <c r="E43" s="190">
        <v>143.09707230363</v>
      </c>
      <c r="F43" s="190">
        <v>146.57849212227001</v>
      </c>
      <c r="G43" s="190">
        <v>142.75865429702</v>
      </c>
      <c r="H43" s="190">
        <v>142.08095841282</v>
      </c>
      <c r="I43" s="190">
        <v>143.29375121832999</v>
      </c>
      <c r="J43" s="190">
        <v>144.39068086498</v>
      </c>
      <c r="K43" s="15"/>
      <c r="L43" s="15"/>
      <c r="M43" s="15"/>
    </row>
    <row r="44" spans="1:13" ht="13.8" outlineLevel="4" x14ac:dyDescent="0.3">
      <c r="A44" s="189" t="s">
        <v>28</v>
      </c>
      <c r="B44" s="190">
        <v>2601.18318191345</v>
      </c>
      <c r="C44" s="190">
        <v>2673.4850814349902</v>
      </c>
      <c r="D44" s="190">
        <v>2662.11649729172</v>
      </c>
      <c r="E44" s="190">
        <v>2624.9638182259901</v>
      </c>
      <c r="F44" s="190">
        <v>2688.5406760743899</v>
      </c>
      <c r="G44" s="190">
        <v>2681.0349062871901</v>
      </c>
      <c r="H44" s="190">
        <v>2791.96913701009</v>
      </c>
      <c r="I44" s="190">
        <v>2797.8513435336299</v>
      </c>
      <c r="J44" s="190">
        <v>2830.9019232304099</v>
      </c>
      <c r="K44" s="15"/>
      <c r="L44" s="15"/>
      <c r="M44" s="15"/>
    </row>
    <row r="45" spans="1:13" ht="13.8" outlineLevel="4" x14ac:dyDescent="0.3">
      <c r="A45" s="189" t="s">
        <v>29</v>
      </c>
      <c r="B45" s="190">
        <v>903.18520265950997</v>
      </c>
      <c r="C45" s="190">
        <v>928.28993431626998</v>
      </c>
      <c r="D45" s="190">
        <v>924.34252413586</v>
      </c>
      <c r="E45" s="190">
        <v>911.44233694234003</v>
      </c>
      <c r="F45" s="190">
        <v>934.41303959841002</v>
      </c>
      <c r="G45" s="190">
        <v>923.12658897224003</v>
      </c>
      <c r="H45" s="190">
        <v>918.29167077110003</v>
      </c>
      <c r="I45" s="190">
        <v>920.22635593101995</v>
      </c>
      <c r="J45" s="190">
        <v>931.09684573958998</v>
      </c>
      <c r="K45" s="15"/>
      <c r="L45" s="15"/>
      <c r="M45" s="15"/>
    </row>
    <row r="46" spans="1:13" ht="13.8" outlineLevel="4" x14ac:dyDescent="0.3">
      <c r="A46" s="189" t="s">
        <v>30</v>
      </c>
      <c r="B46" s="190">
        <v>283.18043197063002</v>
      </c>
      <c r="C46" s="190">
        <v>287.05993478110997</v>
      </c>
      <c r="D46" s="190">
        <v>288.85730718880001</v>
      </c>
      <c r="E46" s="190">
        <v>291.81545283548002</v>
      </c>
      <c r="F46" s="190">
        <v>294.61256897766998</v>
      </c>
      <c r="G46" s="190">
        <v>295.76188864056002</v>
      </c>
      <c r="H46" s="190">
        <v>298.75878156761001</v>
      </c>
      <c r="I46" s="190">
        <v>297.99130557912002</v>
      </c>
      <c r="J46" s="190">
        <v>293.68851629141</v>
      </c>
      <c r="K46" s="15"/>
      <c r="L46" s="15"/>
      <c r="M46" s="15"/>
    </row>
    <row r="47" spans="1:13" ht="13.8" outlineLevel="4" x14ac:dyDescent="0.3">
      <c r="A47" s="189" t="s">
        <v>31</v>
      </c>
      <c r="B47" s="190">
        <v>698.98622995717005</v>
      </c>
      <c r="C47" s="190">
        <v>706.14146045373002</v>
      </c>
      <c r="D47" s="190">
        <v>707.00848642594997</v>
      </c>
      <c r="E47" s="190">
        <v>714.41402424093997</v>
      </c>
      <c r="F47" s="190">
        <v>719.38889933150995</v>
      </c>
      <c r="G47" s="190">
        <v>721.54213643262005</v>
      </c>
      <c r="H47" s="190">
        <v>791.52520971706997</v>
      </c>
      <c r="I47" s="190">
        <v>810.13501602951999</v>
      </c>
      <c r="J47" s="190">
        <v>809.07587783455995</v>
      </c>
      <c r="K47" s="15"/>
      <c r="L47" s="15"/>
      <c r="M47" s="15"/>
    </row>
    <row r="48" spans="1:13" ht="13.8" outlineLevel="4" x14ac:dyDescent="0.3">
      <c r="A48" s="189" t="s">
        <v>32</v>
      </c>
      <c r="B48" s="190">
        <v>574.79562913317</v>
      </c>
      <c r="C48" s="190">
        <v>578.84227550457001</v>
      </c>
      <c r="D48" s="190">
        <v>576.98911118501996</v>
      </c>
      <c r="E48" s="190">
        <v>635.27729413216002</v>
      </c>
      <c r="F48" s="190">
        <v>639.19517283776997</v>
      </c>
      <c r="G48" s="190">
        <v>636.53938225406</v>
      </c>
      <c r="H48" s="190">
        <v>631.30844599589</v>
      </c>
      <c r="I48" s="190">
        <v>655.61587680196999</v>
      </c>
      <c r="J48" s="190">
        <v>652.22598714139997</v>
      </c>
      <c r="K48" s="15"/>
      <c r="L48" s="15"/>
      <c r="M48" s="15"/>
    </row>
    <row r="49" spans="1:13" ht="13.8" outlineLevel="4" x14ac:dyDescent="0.3">
      <c r="A49" s="189" t="s">
        <v>33</v>
      </c>
      <c r="B49" s="190">
        <v>4.4185232040900004</v>
      </c>
      <c r="C49" s="190">
        <v>4.3694920235200003</v>
      </c>
      <c r="D49" s="190">
        <v>4.4205296836299999</v>
      </c>
      <c r="E49" s="190">
        <v>4.4806253401399996</v>
      </c>
      <c r="F49" s="190">
        <v>4.5099365515700001</v>
      </c>
      <c r="G49" s="190">
        <v>4.5286895883999998</v>
      </c>
      <c r="H49" s="190">
        <v>4.3907686567399997</v>
      </c>
      <c r="I49" s="190">
        <v>4.2672665514999997</v>
      </c>
      <c r="J49" s="190">
        <v>4.2537939680600001</v>
      </c>
      <c r="K49" s="15"/>
      <c r="L49" s="15"/>
      <c r="M49" s="15"/>
    </row>
    <row r="50" spans="1:13" ht="13.8" outlineLevel="3" x14ac:dyDescent="0.3">
      <c r="A50" s="191" t="s">
        <v>34</v>
      </c>
      <c r="B50" s="190">
        <f t="shared" ref="B50:J50" si="12">SUM(B$51:B$60)</f>
        <v>342.93997620361</v>
      </c>
      <c r="C50" s="190">
        <f t="shared" si="12"/>
        <v>351.42368175006999</v>
      </c>
      <c r="D50" s="190">
        <f t="shared" si="12"/>
        <v>350.39060889588001</v>
      </c>
      <c r="E50" s="190">
        <f t="shared" si="12"/>
        <v>348.65248924481006</v>
      </c>
      <c r="F50" s="190">
        <f t="shared" si="12"/>
        <v>356.43266794719</v>
      </c>
      <c r="G50" s="190">
        <f t="shared" si="12"/>
        <v>354.92073664800995</v>
      </c>
      <c r="H50" s="190">
        <f t="shared" si="12"/>
        <v>352.46536046552001</v>
      </c>
      <c r="I50" s="190">
        <f t="shared" si="12"/>
        <v>354.93523253653996</v>
      </c>
      <c r="J50" s="190">
        <f t="shared" si="12"/>
        <v>358.82973843775005</v>
      </c>
      <c r="K50" s="15"/>
      <c r="L50" s="15"/>
      <c r="M50" s="15"/>
    </row>
    <row r="51" spans="1:13" ht="13.8" outlineLevel="4" x14ac:dyDescent="0.3">
      <c r="A51" s="189" t="s">
        <v>35</v>
      </c>
      <c r="B51" s="190">
        <v>1.0879674421800001</v>
      </c>
      <c r="C51" s="190">
        <v>1.12520998098</v>
      </c>
      <c r="D51" s="190">
        <v>1.11321226972</v>
      </c>
      <c r="E51" s="190">
        <v>1.1021121523299999</v>
      </c>
      <c r="F51" s="190">
        <v>1.1322062687700001</v>
      </c>
      <c r="G51" s="190">
        <v>1.1286653370299999</v>
      </c>
      <c r="H51" s="190">
        <v>1.12850749743</v>
      </c>
      <c r="I51" s="190">
        <v>1.1375804218900001</v>
      </c>
      <c r="J51" s="190">
        <v>1.1509587542299999</v>
      </c>
      <c r="K51" s="15"/>
      <c r="L51" s="15"/>
      <c r="M51" s="15"/>
    </row>
    <row r="52" spans="1:13" ht="13.8" outlineLevel="4" x14ac:dyDescent="0.3">
      <c r="A52" s="189" t="s">
        <v>36</v>
      </c>
      <c r="B52" s="190">
        <v>9.9712999999999994</v>
      </c>
      <c r="C52" s="190">
        <v>10.24846</v>
      </c>
      <c r="D52" s="190">
        <v>10.204879999999999</v>
      </c>
      <c r="E52" s="190">
        <v>10.06246</v>
      </c>
      <c r="F52" s="190">
        <v>10.31606</v>
      </c>
      <c r="G52" s="190">
        <v>10.28726</v>
      </c>
      <c r="H52" s="190">
        <v>10.23338</v>
      </c>
      <c r="I52" s="190">
        <v>10.25494</v>
      </c>
      <c r="J52" s="190">
        <v>10.37608</v>
      </c>
      <c r="K52" s="15"/>
      <c r="L52" s="15"/>
      <c r="M52" s="15"/>
    </row>
    <row r="53" spans="1:13" ht="13.8" outlineLevel="4" x14ac:dyDescent="0.3">
      <c r="A53" s="189" t="s">
        <v>37</v>
      </c>
      <c r="B53" s="190">
        <v>225.41873603241999</v>
      </c>
      <c r="C53" s="190">
        <v>230.67629633621999</v>
      </c>
      <c r="D53" s="190">
        <v>230.20135148238001</v>
      </c>
      <c r="E53" s="190">
        <v>229.55795835524</v>
      </c>
      <c r="F53" s="190">
        <v>234.84099611753999</v>
      </c>
      <c r="G53" s="190">
        <v>233.12087171728999</v>
      </c>
      <c r="H53" s="190">
        <v>230.73405386053</v>
      </c>
      <c r="I53" s="190">
        <v>232.34197319397001</v>
      </c>
      <c r="J53" s="190">
        <v>234.62137383704001</v>
      </c>
      <c r="K53" s="15"/>
      <c r="L53" s="15"/>
      <c r="M53" s="15"/>
    </row>
    <row r="54" spans="1:13" ht="13.8" outlineLevel="4" x14ac:dyDescent="0.3">
      <c r="A54" s="189" t="s">
        <v>38</v>
      </c>
      <c r="B54" s="190">
        <v>9.9712999999999994</v>
      </c>
      <c r="C54" s="190">
        <v>10.24846</v>
      </c>
      <c r="D54" s="190">
        <v>10.204879999999999</v>
      </c>
      <c r="E54" s="190">
        <v>10.06246</v>
      </c>
      <c r="F54" s="190">
        <v>10.31606</v>
      </c>
      <c r="G54" s="190">
        <v>10.28726</v>
      </c>
      <c r="H54" s="190">
        <v>10.23338</v>
      </c>
      <c r="I54" s="190">
        <v>10.25494</v>
      </c>
      <c r="J54" s="190">
        <v>10.37608</v>
      </c>
      <c r="K54" s="15"/>
      <c r="L54" s="15"/>
      <c r="M54" s="15"/>
    </row>
    <row r="55" spans="1:13" ht="13.8" outlineLevel="4" x14ac:dyDescent="0.3">
      <c r="A55" s="189" t="s">
        <v>39</v>
      </c>
      <c r="B55" s="190">
        <v>28.228915603210002</v>
      </c>
      <c r="C55" s="190">
        <v>29.013560157939999</v>
      </c>
      <c r="D55" s="190">
        <v>28.942408796799999</v>
      </c>
      <c r="E55" s="190">
        <v>28.53848656932</v>
      </c>
      <c r="F55" s="190">
        <v>29.25773019304</v>
      </c>
      <c r="G55" s="190">
        <v>29.208802188810001</v>
      </c>
      <c r="H55" s="190">
        <v>29.055819736539998</v>
      </c>
      <c r="I55" s="190">
        <v>29.127097757040001</v>
      </c>
      <c r="J55" s="190">
        <v>29.509836574880001</v>
      </c>
      <c r="K55" s="15"/>
      <c r="L55" s="15"/>
      <c r="M55" s="15"/>
    </row>
    <row r="56" spans="1:13" ht="13.8" outlineLevel="4" x14ac:dyDescent="0.3">
      <c r="A56" s="189" t="s">
        <v>40</v>
      </c>
      <c r="B56" s="190">
        <v>5.5870749771800003</v>
      </c>
      <c r="C56" s="190">
        <v>5.7423720498500002</v>
      </c>
      <c r="D56" s="190">
        <v>5.7179534958499998</v>
      </c>
      <c r="E56" s="190">
        <v>5.6259962034099997</v>
      </c>
      <c r="F56" s="190">
        <v>5.9601243002100004</v>
      </c>
      <c r="G56" s="190">
        <v>5.9458788916099996</v>
      </c>
      <c r="H56" s="190">
        <v>6.1703669083400001</v>
      </c>
      <c r="I56" s="190">
        <v>6.2279983986899996</v>
      </c>
      <c r="J56" s="190">
        <v>6.3015687682900001</v>
      </c>
      <c r="K56" s="15"/>
      <c r="L56" s="15"/>
      <c r="M56" s="15"/>
    </row>
    <row r="57" spans="1:13" ht="13.8" outlineLevel="4" x14ac:dyDescent="0.3">
      <c r="A57" s="189" t="s">
        <v>41</v>
      </c>
      <c r="B57" s="190">
        <v>4.2387800000000002</v>
      </c>
      <c r="C57" s="190">
        <v>4.2848300000000004</v>
      </c>
      <c r="D57" s="190">
        <v>4.3208099999999998</v>
      </c>
      <c r="E57" s="190">
        <v>4.3795500000000001</v>
      </c>
      <c r="F57" s="190">
        <v>4.4081999999999999</v>
      </c>
      <c r="G57" s="190">
        <v>4.4265299999999996</v>
      </c>
      <c r="H57" s="190">
        <v>4.4847799999999998</v>
      </c>
      <c r="I57" s="190">
        <v>4.4691599999999996</v>
      </c>
      <c r="J57" s="190">
        <v>4.45505</v>
      </c>
      <c r="K57" s="15"/>
      <c r="L57" s="15"/>
      <c r="M57" s="15"/>
    </row>
    <row r="58" spans="1:13" ht="13.8" outlineLevel="4" x14ac:dyDescent="0.3">
      <c r="A58" s="189" t="s">
        <v>42</v>
      </c>
      <c r="B58" s="190">
        <v>2.1724394340000001E-2</v>
      </c>
      <c r="C58" s="190">
        <v>2.196040761E-2</v>
      </c>
      <c r="D58" s="190">
        <v>2.2144810609999999E-2</v>
      </c>
      <c r="E58" s="190">
        <v>2.2445862069999999E-2</v>
      </c>
      <c r="F58" s="190">
        <v>2.259269769E-2</v>
      </c>
      <c r="G58" s="190">
        <v>2.2686641739999999E-2</v>
      </c>
      <c r="H58" s="190">
        <v>2.298518188E-2</v>
      </c>
      <c r="I58" s="190">
        <v>2.2905127000000001E-2</v>
      </c>
      <c r="J58" s="190">
        <v>2.2832811089999999E-2</v>
      </c>
      <c r="K58" s="15"/>
      <c r="L58" s="15"/>
      <c r="M58" s="15"/>
    </row>
    <row r="59" spans="1:13" ht="13.8" outlineLevel="4" x14ac:dyDescent="0.3">
      <c r="A59" s="189" t="s">
        <v>43</v>
      </c>
      <c r="B59" s="190">
        <v>22.164438994840001</v>
      </c>
      <c r="C59" s="190">
        <v>22.780516729119999</v>
      </c>
      <c r="D59" s="190">
        <v>22.7437160781</v>
      </c>
      <c r="E59" s="190">
        <v>22.68318245052</v>
      </c>
      <c r="F59" s="190">
        <v>23.399484029650001</v>
      </c>
      <c r="G59" s="190">
        <v>23.469501961230002</v>
      </c>
      <c r="H59" s="190">
        <v>23.441490877549999</v>
      </c>
      <c r="I59" s="190">
        <v>24.082114794420001</v>
      </c>
      <c r="J59" s="190">
        <v>24.366593044529999</v>
      </c>
      <c r="K59" s="15"/>
      <c r="L59" s="15"/>
      <c r="M59" s="15"/>
    </row>
    <row r="60" spans="1:13" ht="13.8" outlineLevel="4" x14ac:dyDescent="0.3">
      <c r="A60" s="189" t="s">
        <v>44</v>
      </c>
      <c r="B60" s="190">
        <v>36.24973875944</v>
      </c>
      <c r="C60" s="190">
        <v>37.282016088349998</v>
      </c>
      <c r="D60" s="190">
        <v>36.919251962419999</v>
      </c>
      <c r="E60" s="190">
        <v>36.617837651919999</v>
      </c>
      <c r="F60" s="190">
        <v>36.779214340289997</v>
      </c>
      <c r="G60" s="190">
        <v>37.023279910299998</v>
      </c>
      <c r="H60" s="190">
        <v>36.960596403250001</v>
      </c>
      <c r="I60" s="190">
        <v>37.016522843529998</v>
      </c>
      <c r="J60" s="190">
        <v>37.64936464769</v>
      </c>
      <c r="K60" s="15"/>
      <c r="L60" s="15"/>
      <c r="M60" s="15"/>
    </row>
    <row r="61" spans="1:13" ht="13.8" outlineLevel="3" x14ac:dyDescent="0.3">
      <c r="A61" s="191" t="s">
        <v>45</v>
      </c>
      <c r="B61" s="190">
        <f t="shared" ref="B61:J61" si="13">SUM(B$62:B$62)</f>
        <v>25.680897022509999</v>
      </c>
      <c r="C61" s="190">
        <f t="shared" si="13"/>
        <v>25.959893646040001</v>
      </c>
      <c r="D61" s="190">
        <f t="shared" si="13"/>
        <v>26.17788058447</v>
      </c>
      <c r="E61" s="190">
        <f t="shared" si="13"/>
        <v>26.533760316630001</v>
      </c>
      <c r="F61" s="190">
        <f t="shared" si="13"/>
        <v>26.707338020520002</v>
      </c>
      <c r="G61" s="190">
        <f t="shared" si="13"/>
        <v>26.818391399660001</v>
      </c>
      <c r="H61" s="190">
        <f t="shared" si="13"/>
        <v>27.171302438110001</v>
      </c>
      <c r="I61" s="190">
        <f t="shared" si="13"/>
        <v>27.076667752780001</v>
      </c>
      <c r="J61" s="190">
        <f t="shared" si="13"/>
        <v>26.99118149093</v>
      </c>
      <c r="K61" s="15"/>
      <c r="L61" s="15"/>
      <c r="M61" s="15"/>
    </row>
    <row r="62" spans="1:13" ht="13.8" outlineLevel="4" x14ac:dyDescent="0.3">
      <c r="A62" s="189" t="s">
        <v>46</v>
      </c>
      <c r="B62" s="190">
        <v>25.680897022509999</v>
      </c>
      <c r="C62" s="190">
        <v>25.959893646040001</v>
      </c>
      <c r="D62" s="190">
        <v>26.17788058447</v>
      </c>
      <c r="E62" s="190">
        <v>26.533760316630001</v>
      </c>
      <c r="F62" s="190">
        <v>26.707338020520002</v>
      </c>
      <c r="G62" s="190">
        <v>26.818391399660001</v>
      </c>
      <c r="H62" s="190">
        <v>27.171302438110001</v>
      </c>
      <c r="I62" s="190">
        <v>27.076667752780001</v>
      </c>
      <c r="J62" s="190">
        <v>26.99118149093</v>
      </c>
      <c r="K62" s="15"/>
      <c r="L62" s="15"/>
      <c r="M62" s="15"/>
    </row>
    <row r="63" spans="1:13" ht="13.8" outlineLevel="3" x14ac:dyDescent="0.3">
      <c r="A63" s="191" t="s">
        <v>47</v>
      </c>
      <c r="B63" s="190">
        <f t="shared" ref="B63:J63" si="14">SUM(B$64:B$69)</f>
        <v>90.724545800569999</v>
      </c>
      <c r="C63" s="190">
        <f t="shared" si="14"/>
        <v>93.469891828670001</v>
      </c>
      <c r="D63" s="190">
        <f t="shared" si="14"/>
        <v>91.53783166720001</v>
      </c>
      <c r="E63" s="190">
        <f t="shared" si="14"/>
        <v>92.132327267200012</v>
      </c>
      <c r="F63" s="190">
        <f t="shared" si="14"/>
        <v>95.436465884179995</v>
      </c>
      <c r="G63" s="190">
        <f t="shared" si="14"/>
        <v>97.713380868409985</v>
      </c>
      <c r="H63" s="190">
        <f t="shared" si="14"/>
        <v>95.92314396802</v>
      </c>
      <c r="I63" s="190">
        <f t="shared" si="14"/>
        <v>96.374305886019997</v>
      </c>
      <c r="J63" s="190">
        <f t="shared" si="14"/>
        <v>98.772969598670002</v>
      </c>
      <c r="K63" s="15"/>
      <c r="L63" s="15"/>
      <c r="M63" s="15"/>
    </row>
    <row r="64" spans="1:13" ht="13.8" outlineLevel="4" x14ac:dyDescent="0.3">
      <c r="A64" s="189" t="s">
        <v>48</v>
      </c>
      <c r="B64" s="190">
        <v>32.406725000000002</v>
      </c>
      <c r="C64" s="190">
        <v>33.307495000000003</v>
      </c>
      <c r="D64" s="190">
        <v>33.165860000000002</v>
      </c>
      <c r="E64" s="190">
        <v>32.702995000000001</v>
      </c>
      <c r="F64" s="190">
        <v>33.527194999999999</v>
      </c>
      <c r="G64" s="190">
        <v>33.433594999999997</v>
      </c>
      <c r="H64" s="190">
        <v>33.258485</v>
      </c>
      <c r="I64" s="190">
        <v>33.328555000000001</v>
      </c>
      <c r="J64" s="190">
        <v>33.722259999999999</v>
      </c>
      <c r="K64" s="15"/>
      <c r="L64" s="15"/>
      <c r="M64" s="15"/>
    </row>
    <row r="65" spans="1:13" ht="13.8" outlineLevel="4" x14ac:dyDescent="0.3">
      <c r="A65" s="189" t="s">
        <v>49</v>
      </c>
      <c r="B65" s="190">
        <v>2.5491229600000001E-3</v>
      </c>
      <c r="C65" s="190">
        <v>2.6199778100000001E-3</v>
      </c>
      <c r="D65" s="190">
        <v>2.6088367499999998E-3</v>
      </c>
      <c r="E65" s="190">
        <v>2.57242765E-3</v>
      </c>
      <c r="F65" s="190">
        <v>2.6372594700000002E-3</v>
      </c>
      <c r="G65" s="190">
        <v>2.62989687E-3</v>
      </c>
      <c r="H65" s="190">
        <v>2.6161226600000002E-3</v>
      </c>
      <c r="I65" s="190">
        <v>2.62163439E-3</v>
      </c>
      <c r="J65" s="190">
        <v>2.6526033499999998E-3</v>
      </c>
      <c r="K65" s="15"/>
      <c r="L65" s="15"/>
      <c r="M65" s="15"/>
    </row>
    <row r="66" spans="1:13" ht="13.8" outlineLevel="4" x14ac:dyDescent="0.3">
      <c r="A66" s="189" t="s">
        <v>50</v>
      </c>
      <c r="B66" s="190">
        <v>27.161416202040002</v>
      </c>
      <c r="C66" s="190">
        <v>28.087962550419999</v>
      </c>
      <c r="D66" s="190">
        <v>27.791771498500001</v>
      </c>
      <c r="E66" s="190">
        <v>29.73688290538</v>
      </c>
      <c r="F66" s="190">
        <v>30.547810590419999</v>
      </c>
      <c r="G66" s="190">
        <v>33.312928595179997</v>
      </c>
      <c r="H66" s="190">
        <v>33.271353090589997</v>
      </c>
      <c r="I66" s="190">
        <v>33.535437666999997</v>
      </c>
      <c r="J66" s="190">
        <v>36.750256347190003</v>
      </c>
      <c r="K66" s="15"/>
      <c r="L66" s="15"/>
      <c r="M66" s="15"/>
    </row>
    <row r="67" spans="1:13" ht="13.8" outlineLevel="4" x14ac:dyDescent="0.3">
      <c r="A67" s="189" t="s">
        <v>51</v>
      </c>
      <c r="B67" s="190">
        <v>7.2839387001600002</v>
      </c>
      <c r="C67" s="190">
        <v>7.4864014131700003</v>
      </c>
      <c r="D67" s="190">
        <v>7.37933507319</v>
      </c>
      <c r="E67" s="190">
        <v>6.7824236551699997</v>
      </c>
      <c r="F67" s="190">
        <v>6.95335826152</v>
      </c>
      <c r="G67" s="190">
        <v>6.6300236896299998</v>
      </c>
      <c r="H67" s="190">
        <v>6.3991766128599998</v>
      </c>
      <c r="I67" s="190">
        <v>6.4126585951399999</v>
      </c>
      <c r="J67" s="190">
        <v>6.1800875790200003</v>
      </c>
      <c r="K67" s="15"/>
      <c r="L67" s="15"/>
      <c r="M67" s="15"/>
    </row>
    <row r="68" spans="1:13" ht="13.8" outlineLevel="4" x14ac:dyDescent="0.3">
      <c r="A68" s="189" t="s">
        <v>52</v>
      </c>
      <c r="B68" s="190">
        <v>15.787700961240001</v>
      </c>
      <c r="C68" s="190">
        <v>16.226532327099999</v>
      </c>
      <c r="D68" s="190">
        <v>14.928503449939999</v>
      </c>
      <c r="E68" s="190">
        <v>14.7201602395</v>
      </c>
      <c r="F68" s="190">
        <v>15.091146324089999</v>
      </c>
      <c r="G68" s="190">
        <v>15.04901541227</v>
      </c>
      <c r="H68" s="190">
        <v>13.70762336608</v>
      </c>
      <c r="I68" s="190">
        <v>13.736503008950001</v>
      </c>
      <c r="J68" s="190">
        <v>12.64912359577</v>
      </c>
      <c r="K68" s="15"/>
      <c r="L68" s="15"/>
      <c r="M68" s="15"/>
    </row>
    <row r="69" spans="1:13" ht="13.8" outlineLevel="4" x14ac:dyDescent="0.3">
      <c r="A69" s="189" t="s">
        <v>53</v>
      </c>
      <c r="B69" s="190">
        <v>8.0822158141700005</v>
      </c>
      <c r="C69" s="190">
        <v>8.3588805601700003</v>
      </c>
      <c r="D69" s="190">
        <v>8.2697528088199999</v>
      </c>
      <c r="E69" s="190">
        <v>8.1872930395000001</v>
      </c>
      <c r="F69" s="190">
        <v>9.3143184486799999</v>
      </c>
      <c r="G69" s="190">
        <v>9.2851882744599994</v>
      </c>
      <c r="H69" s="190">
        <v>9.2838897758299996</v>
      </c>
      <c r="I69" s="190">
        <v>9.3585299805400002</v>
      </c>
      <c r="J69" s="190">
        <v>9.4685894733399998</v>
      </c>
      <c r="K69" s="15"/>
      <c r="L69" s="15"/>
      <c r="M69" s="15"/>
    </row>
    <row r="70" spans="1:13" ht="13.8" outlineLevel="3" x14ac:dyDescent="0.3">
      <c r="A70" s="191" t="s">
        <v>54</v>
      </c>
      <c r="B70" s="190">
        <f t="shared" ref="B70:J70" si="15">SUM(B$71:B$72)</f>
        <v>794.79837836156003</v>
      </c>
      <c r="C70" s="190">
        <f t="shared" si="15"/>
        <v>803.43304808340008</v>
      </c>
      <c r="D70" s="190">
        <f t="shared" si="15"/>
        <v>810.17952835682991</v>
      </c>
      <c r="E70" s="190">
        <f t="shared" si="15"/>
        <v>821.19365429518996</v>
      </c>
      <c r="F70" s="190">
        <f t="shared" si="15"/>
        <v>826.56571265632999</v>
      </c>
      <c r="G70" s="190">
        <f t="shared" si="15"/>
        <v>830.00270496907001</v>
      </c>
      <c r="H70" s="190">
        <f t="shared" si="15"/>
        <v>840.92495277140006</v>
      </c>
      <c r="I70" s="190">
        <f t="shared" si="15"/>
        <v>837.99610280274999</v>
      </c>
      <c r="J70" s="190">
        <f t="shared" si="15"/>
        <v>835.35038749821001</v>
      </c>
      <c r="K70" s="15"/>
      <c r="L70" s="15"/>
      <c r="M70" s="15"/>
    </row>
    <row r="71" spans="1:13" ht="13.8" outlineLevel="4" x14ac:dyDescent="0.3">
      <c r="A71" s="189" t="s">
        <v>61</v>
      </c>
      <c r="B71" s="190">
        <v>646.54004031045997</v>
      </c>
      <c r="C71" s="190">
        <v>653.56403515244006</v>
      </c>
      <c r="D71" s="190">
        <v>659.05205544373996</v>
      </c>
      <c r="E71" s="190">
        <v>668.01165277312998</v>
      </c>
      <c r="F71" s="190">
        <v>672.38163002009003</v>
      </c>
      <c r="G71" s="190">
        <v>675.17750027966997</v>
      </c>
      <c r="H71" s="190">
        <v>684.06235803310005</v>
      </c>
      <c r="I71" s="190">
        <v>681.67984338743997</v>
      </c>
      <c r="J71" s="190">
        <v>679.52764865954998</v>
      </c>
      <c r="K71" s="15"/>
      <c r="L71" s="15"/>
      <c r="M71" s="15"/>
    </row>
    <row r="72" spans="1:13" ht="13.8" outlineLevel="4" x14ac:dyDescent="0.3">
      <c r="A72" s="189" t="s">
        <v>62</v>
      </c>
      <c r="B72" s="190">
        <v>148.2583380511</v>
      </c>
      <c r="C72" s="190">
        <v>149.86901293096</v>
      </c>
      <c r="D72" s="190">
        <v>151.12747291309</v>
      </c>
      <c r="E72" s="190">
        <v>153.18200152206001</v>
      </c>
      <c r="F72" s="190">
        <v>154.18408263623999</v>
      </c>
      <c r="G72" s="190">
        <v>154.82520468940001</v>
      </c>
      <c r="H72" s="190">
        <v>156.8625947383</v>
      </c>
      <c r="I72" s="190">
        <v>156.31625941530999</v>
      </c>
      <c r="J72" s="190">
        <v>155.82273883866</v>
      </c>
      <c r="K72" s="15"/>
      <c r="L72" s="15"/>
      <c r="M72" s="15"/>
    </row>
    <row r="73" spans="1:13" ht="13.8" outlineLevel="3" x14ac:dyDescent="0.3">
      <c r="A73" s="191" t="s">
        <v>63</v>
      </c>
      <c r="B73" s="190">
        <f t="shared" ref="B73:J73" si="16">SUM(B$74:B$74)</f>
        <v>127.1634</v>
      </c>
      <c r="C73" s="190">
        <f t="shared" si="16"/>
        <v>128.54490000000001</v>
      </c>
      <c r="D73" s="190">
        <f t="shared" si="16"/>
        <v>129.62430000000001</v>
      </c>
      <c r="E73" s="190">
        <f t="shared" si="16"/>
        <v>131.38650000000001</v>
      </c>
      <c r="F73" s="190">
        <f t="shared" si="16"/>
        <v>132.24600000000001</v>
      </c>
      <c r="G73" s="190">
        <f t="shared" si="16"/>
        <v>132.79589999999999</v>
      </c>
      <c r="H73" s="190">
        <f t="shared" si="16"/>
        <v>134.54339999999999</v>
      </c>
      <c r="I73" s="190">
        <f t="shared" si="16"/>
        <v>134.07480000000001</v>
      </c>
      <c r="J73" s="190">
        <f t="shared" si="16"/>
        <v>133.6515</v>
      </c>
      <c r="K73" s="15"/>
      <c r="L73" s="15"/>
      <c r="M73" s="15"/>
    </row>
    <row r="74" spans="1:13" ht="13.8" outlineLevel="4" x14ac:dyDescent="0.3">
      <c r="A74" s="189" t="s">
        <v>64</v>
      </c>
      <c r="B74" s="190">
        <v>127.1634</v>
      </c>
      <c r="C74" s="190">
        <v>128.54490000000001</v>
      </c>
      <c r="D74" s="190">
        <v>129.62430000000001</v>
      </c>
      <c r="E74" s="190">
        <v>131.38650000000001</v>
      </c>
      <c r="F74" s="190">
        <v>132.24600000000001</v>
      </c>
      <c r="G74" s="190">
        <v>132.79589999999999</v>
      </c>
      <c r="H74" s="190">
        <v>134.54339999999999</v>
      </c>
      <c r="I74" s="190">
        <v>134.07480000000001</v>
      </c>
      <c r="J74" s="190">
        <v>133.6515</v>
      </c>
      <c r="K74" s="15"/>
      <c r="L74" s="15"/>
      <c r="M74" s="15"/>
    </row>
    <row r="75" spans="1:13" ht="13.8" outlineLevel="3" x14ac:dyDescent="0.3">
      <c r="A75" s="191" t="s">
        <v>65</v>
      </c>
      <c r="B75" s="190">
        <f t="shared" ref="B75:J75" si="17">SUM(B$76:B$76)</f>
        <v>183.21922651337999</v>
      </c>
      <c r="C75" s="190">
        <f t="shared" si="17"/>
        <v>186.88225633098</v>
      </c>
      <c r="D75" s="190">
        <f t="shared" si="17"/>
        <v>187.48257249695999</v>
      </c>
      <c r="E75" s="190">
        <f t="shared" si="17"/>
        <v>187.49140360001999</v>
      </c>
      <c r="F75" s="190">
        <f t="shared" si="17"/>
        <v>190.89211683216001</v>
      </c>
      <c r="G75" s="190">
        <f t="shared" si="17"/>
        <v>191.22987653997001</v>
      </c>
      <c r="H75" s="190">
        <f t="shared" si="17"/>
        <v>191.95575344284001</v>
      </c>
      <c r="I75" s="190">
        <f t="shared" si="17"/>
        <v>192.35564965025</v>
      </c>
      <c r="J75" s="190">
        <f t="shared" si="17"/>
        <v>192.47935137364999</v>
      </c>
      <c r="K75" s="15"/>
      <c r="L75" s="15"/>
      <c r="M75" s="15"/>
    </row>
    <row r="76" spans="1:13" ht="13.8" outlineLevel="4" x14ac:dyDescent="0.3">
      <c r="A76" s="189" t="s">
        <v>32</v>
      </c>
      <c r="B76" s="190">
        <v>183.21922651337999</v>
      </c>
      <c r="C76" s="190">
        <v>186.88225633098</v>
      </c>
      <c r="D76" s="190">
        <v>187.48257249695999</v>
      </c>
      <c r="E76" s="190">
        <v>187.49140360001999</v>
      </c>
      <c r="F76" s="190">
        <v>190.89211683216001</v>
      </c>
      <c r="G76" s="190">
        <v>191.22987653997001</v>
      </c>
      <c r="H76" s="190">
        <v>191.95575344284001</v>
      </c>
      <c r="I76" s="190">
        <v>192.35564965025</v>
      </c>
      <c r="J76" s="190">
        <v>192.47935137364999</v>
      </c>
      <c r="K76" s="15"/>
      <c r="L76" s="15"/>
      <c r="M76" s="15"/>
    </row>
    <row r="77" spans="1:13" ht="14.4" outlineLevel="2" x14ac:dyDescent="0.3">
      <c r="A77" s="192" t="s">
        <v>2</v>
      </c>
      <c r="B77" s="193">
        <f t="shared" ref="B77:J77" si="18">B$78+B$85+B$88+B$90+B$92</f>
        <v>212.38859318713995</v>
      </c>
      <c r="C77" s="193">
        <f t="shared" si="18"/>
        <v>216.11685513332998</v>
      </c>
      <c r="D77" s="193">
        <f t="shared" si="18"/>
        <v>207.86591686177999</v>
      </c>
      <c r="E77" s="193">
        <f t="shared" si="18"/>
        <v>196.79076006548001</v>
      </c>
      <c r="F77" s="193">
        <f t="shared" si="18"/>
        <v>194.74766669377001</v>
      </c>
      <c r="G77" s="193">
        <f t="shared" si="18"/>
        <v>196.32824740714997</v>
      </c>
      <c r="H77" s="193">
        <f t="shared" si="18"/>
        <v>197.39879340803003</v>
      </c>
      <c r="I77" s="193">
        <f t="shared" si="18"/>
        <v>197.38001524062</v>
      </c>
      <c r="J77" s="193">
        <f t="shared" si="18"/>
        <v>195.99899329690004</v>
      </c>
      <c r="K77" s="15"/>
      <c r="L77" s="15"/>
      <c r="M77" s="15"/>
    </row>
    <row r="78" spans="1:13" ht="13.8" outlineLevel="3" x14ac:dyDescent="0.3">
      <c r="A78" s="191" t="s">
        <v>23</v>
      </c>
      <c r="B78" s="190">
        <f t="shared" ref="B78:J78" si="19">SUM(B$79:B$84)</f>
        <v>129.05537836067998</v>
      </c>
      <c r="C78" s="190">
        <f t="shared" si="19"/>
        <v>131.96632005264999</v>
      </c>
      <c r="D78" s="190">
        <f t="shared" si="19"/>
        <v>123.0541253616</v>
      </c>
      <c r="E78" s="190">
        <f t="shared" si="19"/>
        <v>110.93567318021</v>
      </c>
      <c r="F78" s="190">
        <f t="shared" si="19"/>
        <v>108.24534453144</v>
      </c>
      <c r="G78" s="190">
        <f t="shared" si="19"/>
        <v>109.65215696176</v>
      </c>
      <c r="H78" s="190">
        <f t="shared" si="19"/>
        <v>109.65803168747</v>
      </c>
      <c r="I78" s="190">
        <f t="shared" si="19"/>
        <v>110.07275649979999</v>
      </c>
      <c r="J78" s="190">
        <f t="shared" si="19"/>
        <v>108.92440896404001</v>
      </c>
      <c r="K78" s="15"/>
      <c r="L78" s="15"/>
      <c r="M78" s="15"/>
    </row>
    <row r="79" spans="1:13" ht="13.8" outlineLevel="4" x14ac:dyDescent="0.3">
      <c r="A79" s="189" t="s">
        <v>81</v>
      </c>
      <c r="B79" s="190">
        <v>14.956950000000001</v>
      </c>
      <c r="C79" s="190">
        <v>15.37269</v>
      </c>
      <c r="D79" s="190">
        <v>15.307320000000001</v>
      </c>
      <c r="E79" s="190">
        <v>15.09369</v>
      </c>
      <c r="F79" s="190">
        <v>15.47409</v>
      </c>
      <c r="G79" s="190">
        <v>15.43089</v>
      </c>
      <c r="H79" s="190">
        <v>15.350070000000001</v>
      </c>
      <c r="I79" s="190">
        <v>15.38241</v>
      </c>
      <c r="J79" s="190">
        <v>15.564120000000001</v>
      </c>
      <c r="K79" s="15"/>
      <c r="L79" s="15"/>
      <c r="M79" s="15"/>
    </row>
    <row r="80" spans="1:13" ht="13.8" outlineLevel="4" x14ac:dyDescent="0.3">
      <c r="A80" s="189" t="s">
        <v>26</v>
      </c>
      <c r="B80" s="190">
        <v>66.783923133800002</v>
      </c>
      <c r="C80" s="190">
        <v>68.513499836690002</v>
      </c>
      <c r="D80" s="190">
        <v>59.600715008389997</v>
      </c>
      <c r="E80" s="190">
        <v>50.802112032769998</v>
      </c>
      <c r="F80" s="190">
        <v>51.298581777709998</v>
      </c>
      <c r="G80" s="190">
        <v>52.655393183949997</v>
      </c>
      <c r="H80" s="190">
        <v>52.427565775609999</v>
      </c>
      <c r="I80" s="190">
        <v>52.463464867159999</v>
      </c>
      <c r="J80" s="190">
        <v>50.914574980060003</v>
      </c>
      <c r="K80" s="15"/>
      <c r="L80" s="15"/>
      <c r="M80" s="15"/>
    </row>
    <row r="81" spans="1:13" ht="13.8" outlineLevel="4" x14ac:dyDescent="0.3">
      <c r="A81" s="189" t="s">
        <v>27</v>
      </c>
      <c r="B81" s="190">
        <v>9.0394754543799998</v>
      </c>
      <c r="C81" s="190">
        <v>9.2201888560299992</v>
      </c>
      <c r="D81" s="190">
        <v>9.1809814209299994</v>
      </c>
      <c r="E81" s="190">
        <v>8.9434764541699998</v>
      </c>
      <c r="F81" s="190">
        <v>9.1688751766200003</v>
      </c>
      <c r="G81" s="190">
        <v>9.1432778453600001</v>
      </c>
      <c r="H81" s="190">
        <v>9.0953895048</v>
      </c>
      <c r="I81" s="190">
        <v>9.04396153199</v>
      </c>
      <c r="J81" s="190">
        <v>9.15079643302</v>
      </c>
      <c r="K81" s="15"/>
      <c r="L81" s="15"/>
      <c r="M81" s="15"/>
    </row>
    <row r="82" spans="1:13" ht="13.8" outlineLevel="4" x14ac:dyDescent="0.3">
      <c r="A82" s="189" t="s">
        <v>31</v>
      </c>
      <c r="B82" s="190">
        <v>20.65386147676</v>
      </c>
      <c r="C82" s="190">
        <v>20.886843665090002</v>
      </c>
      <c r="D82" s="190">
        <v>20.93152045299</v>
      </c>
      <c r="E82" s="190">
        <v>21.606342438750001</v>
      </c>
      <c r="F82" s="190">
        <v>21.249379670149999</v>
      </c>
      <c r="G82" s="190">
        <v>21.34850927778</v>
      </c>
      <c r="H82" s="190">
        <v>21.668453991780002</v>
      </c>
      <c r="I82" s="190">
        <v>22.043468072650001</v>
      </c>
      <c r="J82" s="190">
        <v>22.14847821943</v>
      </c>
      <c r="K82" s="15"/>
      <c r="L82" s="15"/>
      <c r="M82" s="15"/>
    </row>
    <row r="83" spans="1:13" ht="13.8" outlineLevel="4" x14ac:dyDescent="0.3">
      <c r="A83" s="189" t="s">
        <v>32</v>
      </c>
      <c r="B83" s="190">
        <v>17.581329146990001</v>
      </c>
      <c r="C83" s="190">
        <v>17.932825734569999</v>
      </c>
      <c r="D83" s="190">
        <v>17.990430803140001</v>
      </c>
      <c r="E83" s="190">
        <v>14.44630786387</v>
      </c>
      <c r="F83" s="190">
        <v>11.008646163230001</v>
      </c>
      <c r="G83" s="190">
        <v>11.02812458472</v>
      </c>
      <c r="H83" s="190">
        <v>11.06998551703</v>
      </c>
      <c r="I83" s="190">
        <v>11.093047317190001</v>
      </c>
      <c r="J83" s="190">
        <v>11.100181129339999</v>
      </c>
      <c r="K83" s="15"/>
      <c r="L83" s="15"/>
      <c r="M83" s="15"/>
    </row>
    <row r="84" spans="1:13" ht="13.8" outlineLevel="4" x14ac:dyDescent="0.3">
      <c r="A84" s="189" t="s">
        <v>33</v>
      </c>
      <c r="B84" s="190">
        <v>3.9839148749999997E-2</v>
      </c>
      <c r="C84" s="190">
        <v>4.0271960269999997E-2</v>
      </c>
      <c r="D84" s="190">
        <v>4.3157676149999998E-2</v>
      </c>
      <c r="E84" s="190">
        <v>4.3744390649999999E-2</v>
      </c>
      <c r="F84" s="190">
        <v>4.5771743730000002E-2</v>
      </c>
      <c r="G84" s="190">
        <v>4.5962069949999997E-2</v>
      </c>
      <c r="H84" s="190">
        <v>4.6566898250000002E-2</v>
      </c>
      <c r="I84" s="190">
        <v>4.6404710809999999E-2</v>
      </c>
      <c r="J84" s="190">
        <v>4.625820219E-2</v>
      </c>
      <c r="K84" s="15"/>
      <c r="L84" s="15"/>
      <c r="M84" s="15"/>
    </row>
    <row r="85" spans="1:13" ht="13.8" outlineLevel="3" x14ac:dyDescent="0.3">
      <c r="A85" s="191" t="s">
        <v>82</v>
      </c>
      <c r="B85" s="190">
        <f t="shared" ref="B85:J85" si="20">SUM(B$86:B$87)</f>
        <v>36.535842410389996</v>
      </c>
      <c r="C85" s="190">
        <f t="shared" si="20"/>
        <v>36.959280518670006</v>
      </c>
      <c r="D85" s="190">
        <f t="shared" si="20"/>
        <v>37.249271652279994</v>
      </c>
      <c r="E85" s="190">
        <f t="shared" si="20"/>
        <v>37.711510808969997</v>
      </c>
      <c r="F85" s="190">
        <f t="shared" si="20"/>
        <v>37.987699020689995</v>
      </c>
      <c r="G85" s="190">
        <f t="shared" si="20"/>
        <v>38.134398726930002</v>
      </c>
      <c r="H85" s="190">
        <f t="shared" si="20"/>
        <v>38.606499833599997</v>
      </c>
      <c r="I85" s="190">
        <f t="shared" si="20"/>
        <v>38.481020647260003</v>
      </c>
      <c r="J85" s="190">
        <f t="shared" si="20"/>
        <v>38.383637148520002</v>
      </c>
      <c r="K85" s="15"/>
      <c r="L85" s="15"/>
      <c r="M85" s="15"/>
    </row>
    <row r="86" spans="1:13" ht="13.8" outlineLevel="4" x14ac:dyDescent="0.3">
      <c r="A86" s="189" t="s">
        <v>83</v>
      </c>
      <c r="B86" s="190">
        <v>34.969935</v>
      </c>
      <c r="C86" s="190">
        <v>35.349847500000003</v>
      </c>
      <c r="D86" s="190">
        <v>35.646682499999997</v>
      </c>
      <c r="E86" s="190">
        <v>36.131287499999999</v>
      </c>
      <c r="F86" s="190">
        <v>36.367649999999998</v>
      </c>
      <c r="G86" s="190">
        <v>36.518872500000001</v>
      </c>
      <c r="H86" s="190">
        <v>36.999434999999998</v>
      </c>
      <c r="I86" s="190">
        <v>36.870570000000001</v>
      </c>
      <c r="J86" s="190">
        <v>36.7541625</v>
      </c>
      <c r="K86" s="15"/>
      <c r="L86" s="15"/>
      <c r="M86" s="15"/>
    </row>
    <row r="87" spans="1:13" ht="13.8" outlineLevel="4" x14ac:dyDescent="0.3">
      <c r="A87" s="189" t="s">
        <v>39</v>
      </c>
      <c r="B87" s="190">
        <v>1.5659074103899999</v>
      </c>
      <c r="C87" s="190">
        <v>1.6094330186700001</v>
      </c>
      <c r="D87" s="190">
        <v>1.60258915228</v>
      </c>
      <c r="E87" s="190">
        <v>1.58022330897</v>
      </c>
      <c r="F87" s="190">
        <v>1.62004902069</v>
      </c>
      <c r="G87" s="190">
        <v>1.6155262269299999</v>
      </c>
      <c r="H87" s="190">
        <v>1.6070648336</v>
      </c>
      <c r="I87" s="190">
        <v>1.61045064726</v>
      </c>
      <c r="J87" s="190">
        <v>1.62947464852</v>
      </c>
      <c r="K87" s="15"/>
      <c r="L87" s="15"/>
      <c r="M87" s="15"/>
    </row>
    <row r="88" spans="1:13" ht="13.8" outlineLevel="3" x14ac:dyDescent="0.3">
      <c r="A88" s="191" t="s">
        <v>47</v>
      </c>
      <c r="B88" s="190">
        <f t="shared" ref="B88:J88" si="21">SUM(B$89:B$89)</f>
        <v>7.0996304551599998</v>
      </c>
      <c r="C88" s="190">
        <f t="shared" si="21"/>
        <v>7.01907891902</v>
      </c>
      <c r="D88" s="190">
        <f t="shared" si="21"/>
        <v>7.0780185874599999</v>
      </c>
      <c r="E88" s="190">
        <f t="shared" si="21"/>
        <v>7.1742419371999997</v>
      </c>
      <c r="F88" s="190">
        <f t="shared" si="21"/>
        <v>7.2211741634599997</v>
      </c>
      <c r="G88" s="190">
        <f t="shared" si="21"/>
        <v>7.08830465553</v>
      </c>
      <c r="H88" s="190">
        <f t="shared" si="21"/>
        <v>7.18158172496</v>
      </c>
      <c r="I88" s="190">
        <f t="shared" si="21"/>
        <v>6.9921039704499997</v>
      </c>
      <c r="J88" s="190">
        <f t="shared" si="21"/>
        <v>6.9700285497800003</v>
      </c>
      <c r="K88" s="15"/>
      <c r="L88" s="15"/>
      <c r="M88" s="15"/>
    </row>
    <row r="89" spans="1:13" ht="13.8" outlineLevel="4" x14ac:dyDescent="0.3">
      <c r="A89" s="189" t="s">
        <v>84</v>
      </c>
      <c r="B89" s="190">
        <v>7.0996304551599998</v>
      </c>
      <c r="C89" s="190">
        <v>7.01907891902</v>
      </c>
      <c r="D89" s="190">
        <v>7.0780185874599999</v>
      </c>
      <c r="E89" s="190">
        <v>7.1742419371999997</v>
      </c>
      <c r="F89" s="190">
        <v>7.2211741634599997</v>
      </c>
      <c r="G89" s="190">
        <v>7.08830465553</v>
      </c>
      <c r="H89" s="190">
        <v>7.18158172496</v>
      </c>
      <c r="I89" s="190">
        <v>6.9921039704499997</v>
      </c>
      <c r="J89" s="190">
        <v>6.9700285497800003</v>
      </c>
      <c r="K89" s="15"/>
      <c r="L89" s="15"/>
      <c r="M89" s="15"/>
    </row>
    <row r="90" spans="1:13" ht="13.8" outlineLevel="3" x14ac:dyDescent="0.3">
      <c r="A90" s="191" t="s">
        <v>85</v>
      </c>
      <c r="B90" s="190">
        <f t="shared" ref="B90:J90" si="22">SUM(B$91:B$91)</f>
        <v>34.969935</v>
      </c>
      <c r="C90" s="190">
        <f t="shared" si="22"/>
        <v>35.349847500000003</v>
      </c>
      <c r="D90" s="190">
        <f t="shared" si="22"/>
        <v>35.646682499999997</v>
      </c>
      <c r="E90" s="190">
        <f t="shared" si="22"/>
        <v>36.131287499999999</v>
      </c>
      <c r="F90" s="190">
        <f t="shared" si="22"/>
        <v>36.367649999999998</v>
      </c>
      <c r="G90" s="190">
        <f t="shared" si="22"/>
        <v>36.518872500000001</v>
      </c>
      <c r="H90" s="190">
        <f t="shared" si="22"/>
        <v>36.999434999999998</v>
      </c>
      <c r="I90" s="190">
        <f t="shared" si="22"/>
        <v>36.870570000000001</v>
      </c>
      <c r="J90" s="190">
        <f t="shared" si="22"/>
        <v>36.7541625</v>
      </c>
      <c r="K90" s="15"/>
      <c r="L90" s="15"/>
      <c r="M90" s="15"/>
    </row>
    <row r="91" spans="1:13" ht="13.8" outlineLevel="4" x14ac:dyDescent="0.3">
      <c r="A91" s="189" t="s">
        <v>87</v>
      </c>
      <c r="B91" s="190">
        <v>34.969935</v>
      </c>
      <c r="C91" s="190">
        <v>35.349847500000003</v>
      </c>
      <c r="D91" s="190">
        <v>35.646682499999997</v>
      </c>
      <c r="E91" s="190">
        <v>36.131287499999999</v>
      </c>
      <c r="F91" s="190">
        <v>36.367649999999998</v>
      </c>
      <c r="G91" s="190">
        <v>36.518872500000001</v>
      </c>
      <c r="H91" s="190">
        <v>36.999434999999998</v>
      </c>
      <c r="I91" s="190">
        <v>36.870570000000001</v>
      </c>
      <c r="J91" s="190">
        <v>36.7541625</v>
      </c>
      <c r="K91" s="15"/>
      <c r="L91" s="15"/>
      <c r="M91" s="15"/>
    </row>
    <row r="92" spans="1:13" ht="13.8" outlineLevel="3" x14ac:dyDescent="0.3">
      <c r="A92" s="191" t="s">
        <v>65</v>
      </c>
      <c r="B92" s="190">
        <f t="shared" ref="B92:J92" si="23">SUM(B$93:B$93)</f>
        <v>4.7278069609099997</v>
      </c>
      <c r="C92" s="190">
        <f t="shared" si="23"/>
        <v>4.82232814299</v>
      </c>
      <c r="D92" s="190">
        <f t="shared" si="23"/>
        <v>4.8378187604400003</v>
      </c>
      <c r="E92" s="190">
        <f t="shared" si="23"/>
        <v>4.8380466390999999</v>
      </c>
      <c r="F92" s="190">
        <f t="shared" si="23"/>
        <v>4.9257989781799996</v>
      </c>
      <c r="G92" s="190">
        <f t="shared" si="23"/>
        <v>4.9345145629299996</v>
      </c>
      <c r="H92" s="190">
        <f t="shared" si="23"/>
        <v>4.953245162</v>
      </c>
      <c r="I92" s="190">
        <f t="shared" si="23"/>
        <v>4.9635641231100003</v>
      </c>
      <c r="J92" s="190">
        <f t="shared" si="23"/>
        <v>4.9667561345599998</v>
      </c>
      <c r="K92" s="15"/>
      <c r="L92" s="15"/>
      <c r="M92" s="15"/>
    </row>
    <row r="93" spans="1:13" ht="13.8" outlineLevel="4" x14ac:dyDescent="0.3">
      <c r="A93" s="189" t="s">
        <v>32</v>
      </c>
      <c r="B93" s="190">
        <v>4.7278069609099997</v>
      </c>
      <c r="C93" s="190">
        <v>4.82232814299</v>
      </c>
      <c r="D93" s="190">
        <v>4.8378187604400003</v>
      </c>
      <c r="E93" s="190">
        <v>4.8380466390999999</v>
      </c>
      <c r="F93" s="190">
        <v>4.9257989781799996</v>
      </c>
      <c r="G93" s="190">
        <v>4.9345145629299996</v>
      </c>
      <c r="H93" s="190">
        <v>4.953245162</v>
      </c>
      <c r="I93" s="190">
        <v>4.9635641231100003</v>
      </c>
      <c r="J93" s="190">
        <v>4.9667561345599998</v>
      </c>
      <c r="K93" s="15"/>
      <c r="L93" s="15"/>
      <c r="M93" s="15"/>
    </row>
    <row r="94" spans="1:13" x14ac:dyDescent="0.2">
      <c r="B94" s="14"/>
      <c r="C94" s="14"/>
      <c r="D94" s="14"/>
      <c r="E94" s="14"/>
      <c r="F94" s="14"/>
      <c r="G94" s="14"/>
      <c r="H94" s="14"/>
      <c r="I94" s="14"/>
      <c r="J94" s="14"/>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row r="146" spans="2:13" x14ac:dyDescent="0.2">
      <c r="B146" s="14"/>
      <c r="C146" s="14"/>
      <c r="D146" s="14"/>
      <c r="E146" s="14"/>
      <c r="F146" s="14"/>
      <c r="G146" s="14"/>
      <c r="H146" s="14"/>
      <c r="I146" s="14"/>
      <c r="J146" s="14"/>
      <c r="K146" s="15"/>
      <c r="L146" s="15"/>
      <c r="M146" s="15"/>
    </row>
    <row r="147" spans="2:13" x14ac:dyDescent="0.2">
      <c r="B147" s="14"/>
      <c r="C147" s="14"/>
      <c r="D147" s="14"/>
      <c r="E147" s="14"/>
      <c r="F147" s="14"/>
      <c r="G147" s="14"/>
      <c r="H147" s="14"/>
      <c r="I147" s="14"/>
      <c r="J147" s="14"/>
      <c r="K147" s="15"/>
      <c r="L147" s="15"/>
      <c r="M147" s="15"/>
    </row>
    <row r="148" spans="2:13" x14ac:dyDescent="0.2">
      <c r="B148" s="14"/>
      <c r="C148" s="14"/>
      <c r="D148" s="14"/>
      <c r="E148" s="14"/>
      <c r="F148" s="14"/>
      <c r="G148" s="14"/>
      <c r="H148" s="14"/>
      <c r="I148" s="14"/>
      <c r="J148" s="14"/>
      <c r="K148" s="15"/>
      <c r="L148" s="15"/>
      <c r="M148" s="15"/>
    </row>
    <row r="149" spans="2:13" x14ac:dyDescent="0.2">
      <c r="B149" s="14"/>
      <c r="C149" s="14"/>
      <c r="D149" s="14"/>
      <c r="E149" s="14"/>
      <c r="F149" s="14"/>
      <c r="G149" s="14"/>
      <c r="H149" s="14"/>
      <c r="I149" s="14"/>
      <c r="J149" s="14"/>
      <c r="K149" s="15"/>
      <c r="L149" s="15"/>
      <c r="M149" s="15"/>
    </row>
    <row r="150" spans="2:13" x14ac:dyDescent="0.2">
      <c r="B150" s="14"/>
      <c r="C150" s="14"/>
      <c r="D150" s="14"/>
      <c r="E150" s="14"/>
      <c r="F150" s="14"/>
      <c r="G150" s="14"/>
      <c r="H150" s="14"/>
      <c r="I150" s="14"/>
      <c r="J150" s="14"/>
      <c r="K150" s="15"/>
      <c r="L150" s="15"/>
      <c r="M150" s="15"/>
    </row>
    <row r="151" spans="2:13" x14ac:dyDescent="0.2">
      <c r="B151" s="14"/>
      <c r="C151" s="14"/>
      <c r="D151" s="14"/>
      <c r="E151" s="14"/>
      <c r="F151" s="14"/>
      <c r="G151" s="14"/>
      <c r="H151" s="14"/>
      <c r="I151" s="14"/>
      <c r="J151" s="14"/>
      <c r="K151" s="15"/>
      <c r="L151" s="15"/>
      <c r="M151" s="15"/>
    </row>
    <row r="152" spans="2:13" x14ac:dyDescent="0.2">
      <c r="B152" s="14"/>
      <c r="C152" s="14"/>
      <c r="D152" s="14"/>
      <c r="E152" s="14"/>
      <c r="F152" s="14"/>
      <c r="G152" s="14"/>
      <c r="H152" s="14"/>
      <c r="I152" s="14"/>
      <c r="J152" s="14"/>
      <c r="K152" s="15"/>
      <c r="L152" s="15"/>
      <c r="M152" s="15"/>
    </row>
    <row r="153" spans="2:13" x14ac:dyDescent="0.2">
      <c r="B153" s="14"/>
      <c r="C153" s="14"/>
      <c r="D153" s="14"/>
      <c r="E153" s="14"/>
      <c r="F153" s="14"/>
      <c r="G153" s="14"/>
      <c r="H153" s="14"/>
      <c r="I153" s="14"/>
      <c r="J153" s="14"/>
      <c r="K153" s="15"/>
      <c r="L153" s="15"/>
      <c r="M153" s="15"/>
    </row>
    <row r="154" spans="2:13" x14ac:dyDescent="0.2">
      <c r="B154" s="14"/>
      <c r="C154" s="14"/>
      <c r="D154" s="14"/>
      <c r="E154" s="14"/>
      <c r="F154" s="14"/>
      <c r="G154" s="14"/>
      <c r="H154" s="14"/>
      <c r="I154" s="14"/>
      <c r="J154" s="14"/>
      <c r="K154" s="15"/>
      <c r="L154" s="15"/>
      <c r="M154" s="15"/>
    </row>
    <row r="155" spans="2:13" x14ac:dyDescent="0.2">
      <c r="B155" s="14"/>
      <c r="C155" s="14"/>
      <c r="D155" s="14"/>
      <c r="E155" s="14"/>
      <c r="F155" s="14"/>
      <c r="G155" s="14"/>
      <c r="H155" s="14"/>
      <c r="I155" s="14"/>
      <c r="J155" s="14"/>
      <c r="K155" s="15"/>
      <c r="L155" s="15"/>
      <c r="M155" s="15"/>
    </row>
    <row r="156" spans="2:13" x14ac:dyDescent="0.2">
      <c r="B156" s="14"/>
      <c r="C156" s="14"/>
      <c r="D156" s="14"/>
      <c r="E156" s="14"/>
      <c r="F156" s="14"/>
      <c r="G156" s="14"/>
      <c r="H156" s="14"/>
      <c r="I156" s="14"/>
      <c r="J156" s="14"/>
      <c r="K156" s="15"/>
      <c r="L156" s="15"/>
      <c r="M156" s="15"/>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1">
    <tabColor indexed="57"/>
    <outlinePr applyStyles="1" summaryBelow="0"/>
    <pageSetUpPr fitToPage="1"/>
  </sheetPr>
  <dimension ref="A1:O160"/>
  <sheetViews>
    <sheetView topLeftCell="A28" workbookViewId="0">
      <selection activeCell="A37" sqref="A37:XFD56"/>
    </sheetView>
  </sheetViews>
  <sheetFormatPr defaultColWidth="9.109375" defaultRowHeight="10.199999999999999" outlineLevelRow="4" x14ac:dyDescent="0.2"/>
  <cols>
    <col min="1" max="1" width="52" style="12" customWidth="1"/>
    <col min="2" max="10" width="15.109375" style="13" customWidth="1"/>
    <col min="11" max="11" width="9.109375" style="12" customWidth="1"/>
    <col min="12" max="16384" width="9.109375" style="12"/>
  </cols>
  <sheetData>
    <row r="1" spans="1:15" s="26" customFormat="1" ht="13.8" x14ac:dyDescent="0.3">
      <c r="B1" s="27"/>
      <c r="D1" s="27"/>
      <c r="E1" s="27"/>
      <c r="F1" s="27"/>
      <c r="G1" s="27"/>
      <c r="H1" s="27"/>
      <c r="I1" s="27"/>
      <c r="J1" s="27"/>
    </row>
    <row r="2" spans="1:15" s="26" customFormat="1" ht="18" x14ac:dyDescent="0.3">
      <c r="A2" s="5" t="str">
        <f>DEBT_AS_OF_CURR_YEAR</f>
        <v>Державний та гарантований державою борг України за поточний рік</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VALUSD</f>
        <v>млрд. дол. США</v>
      </c>
    </row>
    <row r="5" spans="1:15" s="18" customFormat="1" ht="13.8" x14ac:dyDescent="0.25">
      <c r="A5" s="16"/>
      <c r="B5" s="17">
        <v>46022</v>
      </c>
      <c r="C5" s="17">
        <v>46053</v>
      </c>
      <c r="D5" s="17">
        <v>46081</v>
      </c>
      <c r="E5" s="17">
        <v>46112</v>
      </c>
      <c r="F5" s="17">
        <v>46142</v>
      </c>
      <c r="G5" s="17">
        <v>46173</v>
      </c>
      <c r="H5" s="17">
        <v>46203</v>
      </c>
      <c r="I5" s="17">
        <v>46234</v>
      </c>
      <c r="J5" s="17">
        <v>46265</v>
      </c>
    </row>
    <row r="6" spans="1:15" s="35" customFormat="1" ht="31.2" x14ac:dyDescent="0.25">
      <c r="A6" s="154" t="str">
        <f>DEBT_TOTAL</f>
        <v>Загальна сума державного та гарантованого державою боргу</v>
      </c>
      <c r="B6" s="25">
        <f t="shared" ref="B6:J6" si="0">B$37+B$7</f>
        <v>213.33206790509001</v>
      </c>
      <c r="C6" s="25">
        <f t="shared" si="0"/>
        <v>215.00502527705999</v>
      </c>
      <c r="D6" s="25">
        <f t="shared" si="0"/>
        <v>213.18209710067001</v>
      </c>
      <c r="E6" s="25">
        <f t="shared" si="0"/>
        <v>210.82138271957999</v>
      </c>
      <c r="F6" s="25">
        <f t="shared" si="0"/>
        <v>212.00286896927997</v>
      </c>
      <c r="G6" s="25">
        <f t="shared" si="0"/>
        <v>210.47802761307</v>
      </c>
      <c r="H6" s="25">
        <f t="shared" si="0"/>
        <v>211.62409906781994</v>
      </c>
      <c r="I6" s="25">
        <f t="shared" si="0"/>
        <v>214.18901496843995</v>
      </c>
      <c r="J6" s="25">
        <f t="shared" si="0"/>
        <v>215.55073598985001</v>
      </c>
    </row>
    <row r="7" spans="1:15" s="140" customFormat="1" ht="14.4" outlineLevel="1" x14ac:dyDescent="0.25">
      <c r="A7" s="182" t="s">
        <v>3</v>
      </c>
      <c r="B7" s="183">
        <f t="shared" ref="B7:J7" si="1">B$8+B$23</f>
        <v>47.926573257919998</v>
      </c>
      <c r="C7" s="183">
        <f t="shared" si="1"/>
        <v>47.968612641649997</v>
      </c>
      <c r="D7" s="183">
        <f t="shared" si="1"/>
        <v>47.960955969920008</v>
      </c>
      <c r="E7" s="183">
        <f t="shared" si="1"/>
        <v>47.426327127409998</v>
      </c>
      <c r="F7" s="183">
        <f t="shared" si="1"/>
        <v>46.920327567130002</v>
      </c>
      <c r="G7" s="183">
        <f t="shared" si="1"/>
        <v>46.393422464580006</v>
      </c>
      <c r="H7" s="183">
        <f t="shared" si="1"/>
        <v>45.580918468759997</v>
      </c>
      <c r="I7" s="183">
        <f t="shared" si="1"/>
        <v>46.422167675940003</v>
      </c>
      <c r="J7" s="183">
        <f t="shared" si="1"/>
        <v>46.355899884370004</v>
      </c>
    </row>
    <row r="8" spans="1:15" s="21" customFormat="1" ht="14.4" outlineLevel="2" x14ac:dyDescent="0.25">
      <c r="A8" s="184" t="s">
        <v>1</v>
      </c>
      <c r="B8" s="185">
        <f t="shared" ref="B8:J8" si="2">B$9+B$21</f>
        <v>46.409759241669995</v>
      </c>
      <c r="C8" s="185">
        <f t="shared" si="2"/>
        <v>46.504742661229997</v>
      </c>
      <c r="D8" s="185">
        <f t="shared" si="2"/>
        <v>46.510189458670006</v>
      </c>
      <c r="E8" s="185">
        <f t="shared" si="2"/>
        <v>45.98392448333</v>
      </c>
      <c r="F8" s="185">
        <f t="shared" si="2"/>
        <v>45.454581150620001</v>
      </c>
      <c r="G8" s="185">
        <f t="shared" si="2"/>
        <v>44.931248356110004</v>
      </c>
      <c r="H8" s="185">
        <f t="shared" si="2"/>
        <v>44.138618212479997</v>
      </c>
      <c r="I8" s="185">
        <f t="shared" si="2"/>
        <v>44.9995570257</v>
      </c>
      <c r="J8" s="185">
        <f t="shared" si="2"/>
        <v>44.968409390170002</v>
      </c>
    </row>
    <row r="9" spans="1:15" s="22" customFormat="1" ht="13.8" outlineLevel="3" x14ac:dyDescent="0.25">
      <c r="A9" s="186" t="s">
        <v>4</v>
      </c>
      <c r="B9" s="187">
        <f t="shared" ref="B9:J9" si="3">SUM(B$10:B$20)</f>
        <v>46.378558631459995</v>
      </c>
      <c r="C9" s="187">
        <f t="shared" si="3"/>
        <v>46.473877370769998</v>
      </c>
      <c r="D9" s="187">
        <f t="shared" si="3"/>
        <v>46.479581187880008</v>
      </c>
      <c r="E9" s="187">
        <f t="shared" si="3"/>
        <v>45.954481684530002</v>
      </c>
      <c r="F9" s="187">
        <f t="shared" si="3"/>
        <v>45.42532970797</v>
      </c>
      <c r="G9" s="187">
        <f t="shared" si="3"/>
        <v>44.902118041970006</v>
      </c>
      <c r="H9" s="187">
        <f t="shared" si="3"/>
        <v>44.110603483459997</v>
      </c>
      <c r="I9" s="187">
        <f t="shared" si="3"/>
        <v>44.971444383410002</v>
      </c>
      <c r="J9" s="187">
        <f t="shared" si="3"/>
        <v>44.940207709740001</v>
      </c>
    </row>
    <row r="10" spans="1:15" s="24" customFormat="1" ht="13.8" outlineLevel="4" x14ac:dyDescent="0.25">
      <c r="A10" s="188" t="s">
        <v>7</v>
      </c>
      <c r="B10" s="180">
        <v>0.10026469881</v>
      </c>
      <c r="C10" s="180">
        <v>9.9187132280000007E-2</v>
      </c>
      <c r="D10" s="180">
        <v>9.8361186899999994E-2</v>
      </c>
      <c r="E10" s="180">
        <v>9.704193354E-2</v>
      </c>
      <c r="F10" s="180">
        <v>9.6411233609999994E-2</v>
      </c>
      <c r="G10" s="180">
        <v>9.6012000370000003E-2</v>
      </c>
      <c r="H10" s="180">
        <v>9.4764960600000003E-2</v>
      </c>
      <c r="I10" s="180">
        <v>9.5096170199999996E-2</v>
      </c>
      <c r="J10" s="180">
        <v>9.5397358060000007E-2</v>
      </c>
    </row>
    <row r="11" spans="1:15" ht="13.8" outlineLevel="4" x14ac:dyDescent="0.3">
      <c r="A11" s="189" t="s">
        <v>8</v>
      </c>
      <c r="B11" s="190">
        <v>0.56384148268000001</v>
      </c>
      <c r="C11" s="190">
        <v>0.55778175566999999</v>
      </c>
      <c r="D11" s="190">
        <v>0.55313702755000005</v>
      </c>
      <c r="E11" s="190">
        <v>0.48863467707000002</v>
      </c>
      <c r="F11" s="190">
        <v>0.42874642709999999</v>
      </c>
      <c r="G11" s="190">
        <v>0.38856621327000002</v>
      </c>
      <c r="H11" s="190">
        <v>0.33892409438999999</v>
      </c>
      <c r="I11" s="190">
        <v>0.34010865577999999</v>
      </c>
      <c r="J11" s="190">
        <v>0.34118584528000001</v>
      </c>
      <c r="K11" s="15"/>
      <c r="L11" s="15"/>
      <c r="M11" s="15"/>
    </row>
    <row r="12" spans="1:15" ht="13.8" outlineLevel="4" x14ac:dyDescent="0.3">
      <c r="A12" s="189" t="s">
        <v>9</v>
      </c>
      <c r="B12" s="190">
        <v>2.6012201153199999</v>
      </c>
      <c r="C12" s="190">
        <v>2.4958049212</v>
      </c>
      <c r="D12" s="190">
        <v>2.4750219982799999</v>
      </c>
      <c r="E12" s="190">
        <v>2.4418261693400001</v>
      </c>
      <c r="F12" s="190">
        <v>2.4259561271200001</v>
      </c>
      <c r="G12" s="190">
        <v>2.4159103857200002</v>
      </c>
      <c r="H12" s="190">
        <v>2.3845316380499999</v>
      </c>
      <c r="I12" s="190">
        <v>2.3928657286099999</v>
      </c>
      <c r="J12" s="190">
        <v>2.40044439463</v>
      </c>
      <c r="K12" s="15"/>
      <c r="L12" s="15"/>
      <c r="M12" s="15"/>
    </row>
    <row r="13" spans="1:15" ht="13.8" outlineLevel="4" x14ac:dyDescent="0.3">
      <c r="A13" s="189" t="s">
        <v>10</v>
      </c>
      <c r="B13" s="190">
        <v>6.72992955523</v>
      </c>
      <c r="C13" s="190">
        <v>6.6576015383199998</v>
      </c>
      <c r="D13" s="190">
        <v>6.6021627426</v>
      </c>
      <c r="E13" s="190">
        <v>6.5136123118600002</v>
      </c>
      <c r="F13" s="190">
        <v>6.4712787077499998</v>
      </c>
      <c r="G13" s="190">
        <v>6.4444815240200004</v>
      </c>
      <c r="H13" s="190">
        <v>6.3607781874600002</v>
      </c>
      <c r="I13" s="190">
        <v>6.3830095140900003</v>
      </c>
      <c r="J13" s="190">
        <v>6.4032257325000002</v>
      </c>
      <c r="K13" s="15"/>
      <c r="L13" s="15"/>
      <c r="M13" s="15"/>
    </row>
    <row r="14" spans="1:15" ht="13.8" outlineLevel="4" x14ac:dyDescent="0.3">
      <c r="A14" s="189" t="s">
        <v>13</v>
      </c>
      <c r="B14" s="190">
        <v>0.25278301776000001</v>
      </c>
      <c r="C14" s="190">
        <v>0.25006630368999999</v>
      </c>
      <c r="D14" s="190">
        <v>0.24798396597</v>
      </c>
      <c r="E14" s="190">
        <v>0.24465792148000001</v>
      </c>
      <c r="F14" s="190">
        <v>0.24306782814</v>
      </c>
      <c r="G14" s="190">
        <v>0.24206129858</v>
      </c>
      <c r="H14" s="190">
        <v>0.23891731590000001</v>
      </c>
      <c r="I14" s="190">
        <v>0.23975234719999999</v>
      </c>
      <c r="J14" s="190">
        <v>0.24051168898</v>
      </c>
      <c r="K14" s="15"/>
      <c r="L14" s="15"/>
      <c r="M14" s="15"/>
    </row>
    <row r="15" spans="1:15" ht="13.8" outlineLevel="4" x14ac:dyDescent="0.3">
      <c r="A15" s="189" t="s">
        <v>14</v>
      </c>
      <c r="B15" s="190">
        <v>0.92398782195999996</v>
      </c>
      <c r="C15" s="190">
        <v>0.91405752385000005</v>
      </c>
      <c r="D15" s="190">
        <v>0.90644603676000002</v>
      </c>
      <c r="E15" s="190">
        <v>0.89428847713000004</v>
      </c>
      <c r="F15" s="190">
        <v>0.88847627150999997</v>
      </c>
      <c r="G15" s="190">
        <v>0.63745468797000004</v>
      </c>
      <c r="H15" s="190">
        <v>0.62917518808999995</v>
      </c>
      <c r="I15" s="190">
        <v>0.63137419560999997</v>
      </c>
      <c r="J15" s="190">
        <v>0.63337387905999998</v>
      </c>
      <c r="K15" s="15"/>
      <c r="L15" s="15"/>
      <c r="M15" s="15"/>
    </row>
    <row r="16" spans="1:15" ht="13.8" outlineLevel="4" x14ac:dyDescent="0.3">
      <c r="A16" s="189" t="s">
        <v>15</v>
      </c>
      <c r="B16" s="190">
        <v>10.1475778408</v>
      </c>
      <c r="C16" s="190">
        <v>10.038519614549999</v>
      </c>
      <c r="D16" s="190">
        <v>9.9549274325799999</v>
      </c>
      <c r="E16" s="190">
        <v>9.8214085922199992</v>
      </c>
      <c r="F16" s="190">
        <v>9.7575767887100007</v>
      </c>
      <c r="G16" s="190">
        <v>9.7144479309899996</v>
      </c>
      <c r="H16" s="190">
        <v>9.5882730479399996</v>
      </c>
      <c r="I16" s="190">
        <v>9.6217846753800007</v>
      </c>
      <c r="J16" s="190">
        <v>9.6522587176600005</v>
      </c>
      <c r="K16" s="15"/>
      <c r="L16" s="15"/>
      <c r="M16" s="15"/>
    </row>
    <row r="17" spans="1:13" ht="13.8" outlineLevel="4" x14ac:dyDescent="0.3">
      <c r="A17" s="189" t="s">
        <v>16</v>
      </c>
      <c r="B17" s="190">
        <v>2.2461923477800001</v>
      </c>
      <c r="C17" s="190">
        <v>1.8386378222899999</v>
      </c>
      <c r="D17" s="190">
        <v>1.74184567245</v>
      </c>
      <c r="E17" s="190">
        <v>1.71848345151</v>
      </c>
      <c r="F17" s="190">
        <v>1.70731459555</v>
      </c>
      <c r="G17" s="190">
        <v>1.7002447063199999</v>
      </c>
      <c r="H17" s="190">
        <v>1.32630887133</v>
      </c>
      <c r="I17" s="190">
        <v>1.23680029355</v>
      </c>
      <c r="J17" s="190">
        <v>0.92890681364000005</v>
      </c>
      <c r="K17" s="15"/>
      <c r="L17" s="15"/>
      <c r="M17" s="15"/>
    </row>
    <row r="18" spans="1:13" ht="13.8" outlineLevel="4" x14ac:dyDescent="0.3">
      <c r="A18" s="189" t="s">
        <v>17</v>
      </c>
      <c r="B18" s="190">
        <v>9.0040548459400007</v>
      </c>
      <c r="C18" s="190">
        <v>8.4764434995699993</v>
      </c>
      <c r="D18" s="190">
        <v>7.8381440285300004</v>
      </c>
      <c r="E18" s="190">
        <v>7.2988209064199996</v>
      </c>
      <c r="F18" s="190">
        <v>6.8820117735600004</v>
      </c>
      <c r="G18" s="190">
        <v>6.4388203851599997</v>
      </c>
      <c r="H18" s="190">
        <v>6.1163709255800001</v>
      </c>
      <c r="I18" s="190">
        <v>5.8210560596400001</v>
      </c>
      <c r="J18" s="190">
        <v>5.7062648007699996</v>
      </c>
      <c r="K18" s="15"/>
      <c r="L18" s="15"/>
      <c r="M18" s="15"/>
    </row>
    <row r="19" spans="1:13" ht="13.8" outlineLevel="4" x14ac:dyDescent="0.3">
      <c r="A19" s="189" t="s">
        <v>18</v>
      </c>
      <c r="B19" s="190">
        <v>13.808706905179999</v>
      </c>
      <c r="C19" s="190">
        <v>13.71133874022</v>
      </c>
      <c r="D19" s="190">
        <v>13.15126484606</v>
      </c>
      <c r="E19" s="190">
        <v>12.98873350547</v>
      </c>
      <c r="F19" s="190">
        <v>12.518425108460001</v>
      </c>
      <c r="G19" s="190">
        <v>12.47201843833</v>
      </c>
      <c r="H19" s="190">
        <v>11.884914834490001</v>
      </c>
      <c r="I19" s="190">
        <v>11.49841191488</v>
      </c>
      <c r="J19" s="190">
        <v>11.065806619530001</v>
      </c>
      <c r="K19" s="15"/>
      <c r="L19" s="15"/>
      <c r="M19" s="15"/>
    </row>
    <row r="20" spans="1:13" ht="13.8" outlineLevel="4" x14ac:dyDescent="0.3">
      <c r="A20" s="189" t="s">
        <v>19</v>
      </c>
      <c r="B20" s="190">
        <v>0</v>
      </c>
      <c r="C20" s="190">
        <v>1.43443851913</v>
      </c>
      <c r="D20" s="190">
        <v>2.9102862502</v>
      </c>
      <c r="E20" s="190">
        <v>3.4469737384900001</v>
      </c>
      <c r="F20" s="190">
        <v>4.0060648464600002</v>
      </c>
      <c r="G20" s="190">
        <v>4.35210047124</v>
      </c>
      <c r="H20" s="190">
        <v>5.1476444196299997</v>
      </c>
      <c r="I20" s="190">
        <v>6.7111848284700004</v>
      </c>
      <c r="J20" s="190">
        <v>7.4728318596300003</v>
      </c>
      <c r="K20" s="15"/>
      <c r="L20" s="15"/>
      <c r="M20" s="15"/>
    </row>
    <row r="21" spans="1:13" ht="13.8" outlineLevel="3" x14ac:dyDescent="0.3">
      <c r="A21" s="191" t="s">
        <v>20</v>
      </c>
      <c r="B21" s="190">
        <f t="shared" ref="B21:J21" si="4">SUM(B$22:B$22)</f>
        <v>3.120061021E-2</v>
      </c>
      <c r="C21" s="190">
        <f t="shared" si="4"/>
        <v>3.086529046E-2</v>
      </c>
      <c r="D21" s="190">
        <f t="shared" si="4"/>
        <v>3.0608270789999999E-2</v>
      </c>
      <c r="E21" s="190">
        <f t="shared" si="4"/>
        <v>2.9442798799999999E-2</v>
      </c>
      <c r="F21" s="190">
        <f t="shared" si="4"/>
        <v>2.9251442650000001E-2</v>
      </c>
      <c r="G21" s="190">
        <f t="shared" si="4"/>
        <v>2.9130314139999999E-2</v>
      </c>
      <c r="H21" s="190">
        <f t="shared" si="4"/>
        <v>2.801472902E-2</v>
      </c>
      <c r="I21" s="190">
        <f t="shared" si="4"/>
        <v>2.811264229E-2</v>
      </c>
      <c r="J21" s="190">
        <f t="shared" si="4"/>
        <v>2.8201680430000001E-2</v>
      </c>
      <c r="K21" s="15"/>
      <c r="L21" s="15"/>
      <c r="M21" s="15"/>
    </row>
    <row r="22" spans="1:13" ht="13.8" outlineLevel="4" x14ac:dyDescent="0.3">
      <c r="A22" s="189" t="s">
        <v>21</v>
      </c>
      <c r="B22" s="190">
        <v>3.120061021E-2</v>
      </c>
      <c r="C22" s="190">
        <v>3.086529046E-2</v>
      </c>
      <c r="D22" s="190">
        <v>3.0608270789999999E-2</v>
      </c>
      <c r="E22" s="190">
        <v>2.9442798799999999E-2</v>
      </c>
      <c r="F22" s="190">
        <v>2.9251442650000001E-2</v>
      </c>
      <c r="G22" s="190">
        <v>2.9130314139999999E-2</v>
      </c>
      <c r="H22" s="190">
        <v>2.801472902E-2</v>
      </c>
      <c r="I22" s="190">
        <v>2.811264229E-2</v>
      </c>
      <c r="J22" s="190">
        <v>2.8201680430000001E-2</v>
      </c>
      <c r="K22" s="15"/>
      <c r="L22" s="15"/>
      <c r="M22" s="15"/>
    </row>
    <row r="23" spans="1:13" ht="14.4" outlineLevel="2" x14ac:dyDescent="0.3">
      <c r="A23" s="192" t="s">
        <v>2</v>
      </c>
      <c r="B23" s="193">
        <f t="shared" ref="B23:J23" si="5">B$24+B$27+B$35</f>
        <v>1.5168140162499999</v>
      </c>
      <c r="C23" s="193">
        <f t="shared" si="5"/>
        <v>1.4638699804199997</v>
      </c>
      <c r="D23" s="193">
        <f t="shared" si="5"/>
        <v>1.4507665112499999</v>
      </c>
      <c r="E23" s="193">
        <f t="shared" si="5"/>
        <v>1.44240264408</v>
      </c>
      <c r="F23" s="193">
        <f t="shared" si="5"/>
        <v>1.4657464165099998</v>
      </c>
      <c r="G23" s="193">
        <f t="shared" si="5"/>
        <v>1.46217410847</v>
      </c>
      <c r="H23" s="193">
        <f t="shared" si="5"/>
        <v>1.4423002562799998</v>
      </c>
      <c r="I23" s="193">
        <f t="shared" si="5"/>
        <v>1.42261065024</v>
      </c>
      <c r="J23" s="193">
        <f t="shared" si="5"/>
        <v>1.3874904941999999</v>
      </c>
      <c r="K23" s="15"/>
      <c r="L23" s="15"/>
      <c r="M23" s="15"/>
    </row>
    <row r="24" spans="1:13" ht="13.8" outlineLevel="3" x14ac:dyDescent="0.3">
      <c r="A24" s="191" t="s">
        <v>4</v>
      </c>
      <c r="B24" s="190">
        <f t="shared" ref="B24:J24" si="6">SUM(B$25:B$26)</f>
        <v>5.8389715910000001E-2</v>
      </c>
      <c r="C24" s="190">
        <f t="shared" si="6"/>
        <v>5.776218893E-2</v>
      </c>
      <c r="D24" s="190">
        <f t="shared" si="6"/>
        <v>5.7281194970000004E-2</v>
      </c>
      <c r="E24" s="190">
        <f t="shared" si="6"/>
        <v>5.6512920280000004E-2</v>
      </c>
      <c r="F24" s="190">
        <f t="shared" si="6"/>
        <v>5.6145628609999998E-2</v>
      </c>
      <c r="G24" s="190">
        <f t="shared" si="6"/>
        <v>5.591313287E-2</v>
      </c>
      <c r="H24" s="190">
        <f t="shared" si="6"/>
        <v>5.5186912169999998E-2</v>
      </c>
      <c r="I24" s="190">
        <f t="shared" si="6"/>
        <v>5.5379793970000001E-2</v>
      </c>
      <c r="J24" s="190">
        <f t="shared" si="6"/>
        <v>5.5555192419999996E-2</v>
      </c>
      <c r="K24" s="15"/>
      <c r="L24" s="15"/>
      <c r="M24" s="15"/>
    </row>
    <row r="25" spans="1:13" ht="13.8" outlineLevel="4" x14ac:dyDescent="0.3">
      <c r="A25" s="189" t="s">
        <v>66</v>
      </c>
      <c r="B25" s="190">
        <v>2.7365999999999998E-7</v>
      </c>
      <c r="C25" s="190">
        <v>2.7071999999999998E-7</v>
      </c>
      <c r="D25" s="190">
        <v>2.6847000000000002E-7</v>
      </c>
      <c r="E25" s="190">
        <v>2.6487000000000002E-7</v>
      </c>
      <c r="F25" s="190">
        <v>2.6315000000000002E-7</v>
      </c>
      <c r="G25" s="190">
        <v>2.6206000000000001E-7</v>
      </c>
      <c r="H25" s="190">
        <v>2.5865E-7</v>
      </c>
      <c r="I25" s="190">
        <v>2.5955999999999998E-7</v>
      </c>
      <c r="J25" s="190">
        <v>2.6038000000000001E-7</v>
      </c>
      <c r="K25" s="15"/>
      <c r="L25" s="15"/>
      <c r="M25" s="15"/>
    </row>
    <row r="26" spans="1:13" ht="13.8" outlineLevel="4" x14ac:dyDescent="0.3">
      <c r="A26" s="189" t="s">
        <v>67</v>
      </c>
      <c r="B26" s="190">
        <v>5.838944225E-2</v>
      </c>
      <c r="C26" s="190">
        <v>5.7761918209999999E-2</v>
      </c>
      <c r="D26" s="190">
        <v>5.7280926500000003E-2</v>
      </c>
      <c r="E26" s="190">
        <v>5.6512655410000001E-2</v>
      </c>
      <c r="F26" s="190">
        <v>5.6145365459999999E-2</v>
      </c>
      <c r="G26" s="190">
        <v>5.5912870810000001E-2</v>
      </c>
      <c r="H26" s="190">
        <v>5.5186653519999997E-2</v>
      </c>
      <c r="I26" s="190">
        <v>5.537953441E-2</v>
      </c>
      <c r="J26" s="190">
        <v>5.5554932039999998E-2</v>
      </c>
      <c r="K26" s="15"/>
      <c r="L26" s="15"/>
      <c r="M26" s="15"/>
    </row>
    <row r="27" spans="1:13" ht="13.8" outlineLevel="3" x14ac:dyDescent="0.3">
      <c r="A27" s="191" t="s">
        <v>20</v>
      </c>
      <c r="B27" s="190">
        <f t="shared" ref="B27:J27" si="7">SUM(B$28:B$34)</f>
        <v>1.4584017785299999</v>
      </c>
      <c r="C27" s="190">
        <f t="shared" si="7"/>
        <v>1.4060855117299997</v>
      </c>
      <c r="D27" s="190">
        <f t="shared" si="7"/>
        <v>1.3934632220399998</v>
      </c>
      <c r="E27" s="190">
        <f t="shared" si="7"/>
        <v>1.3858679259</v>
      </c>
      <c r="F27" s="190">
        <f t="shared" si="7"/>
        <v>1.4095791316699999</v>
      </c>
      <c r="G27" s="190">
        <f t="shared" si="7"/>
        <v>1.4062394090499999</v>
      </c>
      <c r="H27" s="190">
        <f t="shared" si="7"/>
        <v>1.3870920576699999</v>
      </c>
      <c r="I27" s="190">
        <f t="shared" si="7"/>
        <v>1.36720949543</v>
      </c>
      <c r="J27" s="190">
        <f t="shared" si="7"/>
        <v>1.33191387329</v>
      </c>
      <c r="K27" s="15"/>
      <c r="L27" s="15"/>
      <c r="M27" s="15"/>
    </row>
    <row r="28" spans="1:13" ht="13.8" outlineLevel="4" x14ac:dyDescent="0.3">
      <c r="A28" s="189" t="s">
        <v>72</v>
      </c>
      <c r="B28" s="190">
        <v>3.5912473979999998E-2</v>
      </c>
      <c r="C28" s="190">
        <v>3.3824373990000003E-2</v>
      </c>
      <c r="D28" s="190">
        <v>3.2318494009999997E-2</v>
      </c>
      <c r="E28" s="190">
        <v>3.3249547009999998E-2</v>
      </c>
      <c r="F28" s="190">
        <v>3.382475075E-2</v>
      </c>
      <c r="G28" s="190">
        <v>3.4404534289999997E-2</v>
      </c>
      <c r="H28" s="190">
        <v>3.2143400670000002E-2</v>
      </c>
      <c r="I28" s="190">
        <v>3.1392218520000001E-2</v>
      </c>
      <c r="J28" s="190">
        <v>3.101228415E-2</v>
      </c>
      <c r="K28" s="15"/>
      <c r="L28" s="15"/>
      <c r="M28" s="15"/>
    </row>
    <row r="29" spans="1:13" ht="13.8" outlineLevel="4" x14ac:dyDescent="0.3">
      <c r="A29" s="189" t="s">
        <v>73</v>
      </c>
      <c r="B29" s="190">
        <v>2.8888889199999998E-3</v>
      </c>
      <c r="C29" s="190">
        <v>2.5277778099999999E-3</v>
      </c>
      <c r="D29" s="190">
        <v>2.1666667000000001E-3</v>
      </c>
      <c r="E29" s="190">
        <v>1.8055555899999999E-3</v>
      </c>
      <c r="F29" s="190">
        <v>1.4444444800000001E-3</v>
      </c>
      <c r="G29" s="190">
        <v>1.0833333699999999E-3</v>
      </c>
      <c r="H29" s="190">
        <v>7.2222225999999995E-4</v>
      </c>
      <c r="I29" s="190">
        <v>3.6111115E-4</v>
      </c>
      <c r="J29" s="190">
        <v>0</v>
      </c>
      <c r="K29" s="15"/>
      <c r="L29" s="15"/>
      <c r="M29" s="15"/>
    </row>
    <row r="30" spans="1:13" ht="13.8" outlineLevel="4" x14ac:dyDescent="0.3">
      <c r="A30" s="189" t="s">
        <v>74</v>
      </c>
      <c r="B30" s="190">
        <v>0.24133749275999999</v>
      </c>
      <c r="C30" s="190">
        <v>0.23579097978999999</v>
      </c>
      <c r="D30" s="190">
        <v>0.23570700164</v>
      </c>
      <c r="E30" s="190">
        <v>0.22778947292999999</v>
      </c>
      <c r="F30" s="190">
        <v>0.21081257541000001</v>
      </c>
      <c r="G30" s="190">
        <v>0.20224950124999999</v>
      </c>
      <c r="H30" s="190">
        <v>0.18870071418000001</v>
      </c>
      <c r="I30" s="190">
        <v>0.17798371894000001</v>
      </c>
      <c r="J30" s="190">
        <v>0.1731396395</v>
      </c>
      <c r="K30" s="15"/>
      <c r="L30" s="15"/>
      <c r="M30" s="15"/>
    </row>
    <row r="31" spans="1:13" ht="13.8" outlineLevel="4" x14ac:dyDescent="0.3">
      <c r="A31" s="189" t="s">
        <v>75</v>
      </c>
      <c r="B31" s="190">
        <v>0.34992654138000001</v>
      </c>
      <c r="C31" s="190">
        <v>0.33515903943000003</v>
      </c>
      <c r="D31" s="190">
        <v>0.32679065194000001</v>
      </c>
      <c r="E31" s="190">
        <v>0.32106939575999999</v>
      </c>
      <c r="F31" s="190">
        <v>0.32196922232000003</v>
      </c>
      <c r="G31" s="190">
        <v>0.31699548399999999</v>
      </c>
      <c r="H31" s="190">
        <v>0.31029698072</v>
      </c>
      <c r="I31" s="190">
        <v>0.31384964443000002</v>
      </c>
      <c r="J31" s="190">
        <v>0.30448624317</v>
      </c>
      <c r="K31" s="15"/>
      <c r="L31" s="15"/>
      <c r="M31" s="15"/>
    </row>
    <row r="32" spans="1:13" ht="13.8" outlineLevel="4" x14ac:dyDescent="0.3">
      <c r="A32" s="189" t="s">
        <v>76</v>
      </c>
      <c r="B32" s="190">
        <v>2.2222221600000001E-3</v>
      </c>
      <c r="C32" s="190">
        <v>1.94444438E-3</v>
      </c>
      <c r="D32" s="190">
        <v>1.6666666E-3</v>
      </c>
      <c r="E32" s="190">
        <v>1.38888882E-3</v>
      </c>
      <c r="F32" s="190">
        <v>1.11111104E-3</v>
      </c>
      <c r="G32" s="190">
        <v>8.3333325999999995E-4</v>
      </c>
      <c r="H32" s="190">
        <v>5.5555548000000004E-4</v>
      </c>
      <c r="I32" s="190">
        <v>2.7777770000000002E-4</v>
      </c>
      <c r="J32" s="190">
        <v>0</v>
      </c>
      <c r="K32" s="15"/>
      <c r="L32" s="15"/>
      <c r="M32" s="15"/>
    </row>
    <row r="33" spans="1:13" ht="13.8" outlineLevel="4" x14ac:dyDescent="0.3">
      <c r="A33" s="189" t="s">
        <v>77</v>
      </c>
      <c r="B33" s="190">
        <v>3.1111110799999999E-3</v>
      </c>
      <c r="C33" s="190">
        <v>2.7222221899999999E-3</v>
      </c>
      <c r="D33" s="190">
        <v>2.3333333E-3</v>
      </c>
      <c r="E33" s="190">
        <v>1.9444444099999999E-3</v>
      </c>
      <c r="F33" s="190">
        <v>1.55555552E-3</v>
      </c>
      <c r="G33" s="190">
        <v>1.1666666300000001E-3</v>
      </c>
      <c r="H33" s="190">
        <v>7.7777773999999997E-4</v>
      </c>
      <c r="I33" s="190">
        <v>3.8888885000000001E-4</v>
      </c>
      <c r="J33" s="190">
        <v>0</v>
      </c>
      <c r="K33" s="15"/>
      <c r="L33" s="15"/>
      <c r="M33" s="15"/>
    </row>
    <row r="34" spans="1:13" ht="13.8" outlineLevel="4" x14ac:dyDescent="0.3">
      <c r="A34" s="189" t="s">
        <v>78</v>
      </c>
      <c r="B34" s="190">
        <v>0.82300304825000004</v>
      </c>
      <c r="C34" s="190">
        <v>0.79411667413999998</v>
      </c>
      <c r="D34" s="190">
        <v>0.79248040784999996</v>
      </c>
      <c r="E34" s="190">
        <v>0.79862062138000001</v>
      </c>
      <c r="F34" s="190">
        <v>0.83886147214999995</v>
      </c>
      <c r="G34" s="190">
        <v>0.84950655625000004</v>
      </c>
      <c r="H34" s="190">
        <v>0.85389540661999996</v>
      </c>
      <c r="I34" s="190">
        <v>0.84295613583999995</v>
      </c>
      <c r="J34" s="190">
        <v>0.82327570647000003</v>
      </c>
      <c r="K34" s="15"/>
      <c r="L34" s="15"/>
      <c r="M34" s="15"/>
    </row>
    <row r="35" spans="1:13" ht="13.8" outlineLevel="3" x14ac:dyDescent="0.3">
      <c r="A35" s="191" t="s">
        <v>79</v>
      </c>
      <c r="B35" s="190">
        <f t="shared" ref="B35:J35" si="8">SUM(B$36:B$36)</f>
        <v>2.2521809999999999E-5</v>
      </c>
      <c r="C35" s="190">
        <f t="shared" si="8"/>
        <v>2.227976E-5</v>
      </c>
      <c r="D35" s="190">
        <f t="shared" si="8"/>
        <v>2.2094239999999999E-5</v>
      </c>
      <c r="E35" s="190">
        <f t="shared" si="8"/>
        <v>2.17979E-5</v>
      </c>
      <c r="F35" s="190">
        <f t="shared" si="8"/>
        <v>2.165623E-5</v>
      </c>
      <c r="G35" s="190">
        <f t="shared" si="8"/>
        <v>2.1566550000000001E-5</v>
      </c>
      <c r="H35" s="190">
        <f t="shared" si="8"/>
        <v>2.1286439999999999E-5</v>
      </c>
      <c r="I35" s="190">
        <f t="shared" si="8"/>
        <v>2.136084E-5</v>
      </c>
      <c r="J35" s="190">
        <f t="shared" si="8"/>
        <v>2.1428489999999999E-5</v>
      </c>
      <c r="K35" s="15"/>
      <c r="L35" s="15"/>
      <c r="M35" s="15"/>
    </row>
    <row r="36" spans="1:13" ht="13.8" outlineLevel="4" x14ac:dyDescent="0.3">
      <c r="A36" s="189" t="s">
        <v>80</v>
      </c>
      <c r="B36" s="190">
        <v>2.2521809999999999E-5</v>
      </c>
      <c r="C36" s="190">
        <v>2.227976E-5</v>
      </c>
      <c r="D36" s="190">
        <v>2.2094239999999999E-5</v>
      </c>
      <c r="E36" s="190">
        <v>2.17979E-5</v>
      </c>
      <c r="F36" s="190">
        <v>2.165623E-5</v>
      </c>
      <c r="G36" s="190">
        <v>2.1566550000000001E-5</v>
      </c>
      <c r="H36" s="190">
        <v>2.1286439999999999E-5</v>
      </c>
      <c r="I36" s="190">
        <v>2.136084E-5</v>
      </c>
      <c r="J36" s="190">
        <v>2.1428489999999999E-5</v>
      </c>
      <c r="K36" s="15"/>
      <c r="L36" s="15"/>
      <c r="M36" s="15"/>
    </row>
    <row r="37" spans="1:13" ht="14.4" outlineLevel="1" x14ac:dyDescent="0.3">
      <c r="A37" s="194" t="s">
        <v>22</v>
      </c>
      <c r="B37" s="195">
        <f t="shared" ref="B37:J37" si="9">B$38+B$77</f>
        <v>165.40549464717</v>
      </c>
      <c r="C37" s="195">
        <f t="shared" si="9"/>
        <v>167.03641263540999</v>
      </c>
      <c r="D37" s="195">
        <f t="shared" si="9"/>
        <v>165.22114113075</v>
      </c>
      <c r="E37" s="195">
        <f t="shared" si="9"/>
        <v>163.39505559217</v>
      </c>
      <c r="F37" s="195">
        <f t="shared" si="9"/>
        <v>165.08254140214999</v>
      </c>
      <c r="G37" s="195">
        <f t="shared" si="9"/>
        <v>164.08460514849</v>
      </c>
      <c r="H37" s="195">
        <f t="shared" si="9"/>
        <v>166.04318059905995</v>
      </c>
      <c r="I37" s="195">
        <f t="shared" si="9"/>
        <v>167.76684729249996</v>
      </c>
      <c r="J37" s="195">
        <f t="shared" si="9"/>
        <v>169.19483610548002</v>
      </c>
      <c r="K37" s="15"/>
      <c r="L37" s="15"/>
      <c r="M37" s="15"/>
    </row>
    <row r="38" spans="1:13" ht="14.4" outlineLevel="2" x14ac:dyDescent="0.3">
      <c r="A38" s="192" t="s">
        <v>1</v>
      </c>
      <c r="B38" s="193">
        <f t="shared" ref="B38:J38" si="10">B$39+B$50+B$61+B$63+B$70+B$73+B$75</f>
        <v>160.39488798235999</v>
      </c>
      <c r="C38" s="193">
        <f t="shared" si="10"/>
        <v>161.99264531832</v>
      </c>
      <c r="D38" s="193">
        <f t="shared" si="10"/>
        <v>160.41033211895999</v>
      </c>
      <c r="E38" s="193">
        <f t="shared" si="10"/>
        <v>158.90165421383</v>
      </c>
      <c r="F38" s="193">
        <f t="shared" si="10"/>
        <v>160.66469133423999</v>
      </c>
      <c r="G38" s="193">
        <f t="shared" si="10"/>
        <v>159.64934214548001</v>
      </c>
      <c r="H38" s="193">
        <f t="shared" si="10"/>
        <v>161.64165380381996</v>
      </c>
      <c r="I38" s="193">
        <f t="shared" si="10"/>
        <v>163.35035705179996</v>
      </c>
      <c r="J38" s="193">
        <f t="shared" si="10"/>
        <v>164.79535701330002</v>
      </c>
      <c r="K38" s="15"/>
      <c r="L38" s="15"/>
      <c r="M38" s="15"/>
    </row>
    <row r="39" spans="1:13" ht="13.8" outlineLevel="3" x14ac:dyDescent="0.3">
      <c r="A39" s="191" t="s">
        <v>23</v>
      </c>
      <c r="B39" s="190">
        <f t="shared" ref="B39:J39" si="11">SUM(B$40:B$49)</f>
        <v>123.4850595906</v>
      </c>
      <c r="C39" s="190">
        <f t="shared" si="11"/>
        <v>124.89167114565001</v>
      </c>
      <c r="D39" s="190">
        <f t="shared" si="11"/>
        <v>123.48686818506</v>
      </c>
      <c r="E39" s="190">
        <f t="shared" si="11"/>
        <v>122.19947853997</v>
      </c>
      <c r="F39" s="190">
        <f t="shared" si="11"/>
        <v>123.72715897765001</v>
      </c>
      <c r="G39" s="190">
        <f t="shared" si="11"/>
        <v>122.74727686130001</v>
      </c>
      <c r="H39" s="190">
        <f t="shared" si="11"/>
        <v>125.00699361792</v>
      </c>
      <c r="I39" s="190">
        <f t="shared" si="11"/>
        <v>126.59148606419998</v>
      </c>
      <c r="J39" s="190">
        <f t="shared" si="11"/>
        <v>127.84683503487001</v>
      </c>
      <c r="K39" s="15"/>
      <c r="L39" s="15"/>
      <c r="M39" s="15"/>
    </row>
    <row r="40" spans="1:13" ht="13.8" outlineLevel="4" x14ac:dyDescent="0.3">
      <c r="A40" s="189" t="s">
        <v>24</v>
      </c>
      <c r="B40" s="190">
        <v>1.1468927590000001E-2</v>
      </c>
      <c r="C40" s="190">
        <v>1.166103017E-2</v>
      </c>
      <c r="D40" s="190">
        <v>1.1514753290000001E-2</v>
      </c>
      <c r="E40" s="190">
        <v>1.0501657710000001E-2</v>
      </c>
      <c r="F40" s="190">
        <v>1.069635356E-2</v>
      </c>
      <c r="G40" s="190">
        <v>1.062232256E-2</v>
      </c>
      <c r="H40" s="190">
        <v>1.042944356E-2</v>
      </c>
      <c r="I40" s="190">
        <v>1.0487945009999999E-2</v>
      </c>
      <c r="J40" s="190">
        <v>1.0645447190000001E-2</v>
      </c>
      <c r="K40" s="15"/>
      <c r="L40" s="15"/>
      <c r="M40" s="15"/>
    </row>
    <row r="41" spans="1:13" ht="13.8" outlineLevel="4" x14ac:dyDescent="0.3">
      <c r="A41" s="189" t="s">
        <v>25</v>
      </c>
      <c r="B41" s="190">
        <v>0.53948969316999995</v>
      </c>
      <c r="C41" s="190">
        <v>0.54852605336000004</v>
      </c>
      <c r="D41" s="190">
        <v>0.54164529937999994</v>
      </c>
      <c r="E41" s="190">
        <v>0.52692271853999995</v>
      </c>
      <c r="F41" s="190">
        <v>0.53669162089</v>
      </c>
      <c r="G41" s="190">
        <v>0.56202711291999996</v>
      </c>
      <c r="H41" s="190">
        <v>0.55182188472000004</v>
      </c>
      <c r="I41" s="190">
        <v>0.55491719619000002</v>
      </c>
      <c r="J41" s="190">
        <v>0.59643974599000005</v>
      </c>
      <c r="K41" s="15"/>
      <c r="L41" s="15"/>
      <c r="M41" s="15"/>
    </row>
    <row r="42" spans="1:13" ht="13.8" outlineLevel="4" x14ac:dyDescent="0.3">
      <c r="A42" s="189" t="s">
        <v>26</v>
      </c>
      <c r="B42" s="190">
        <v>6.3044279359999997E-2</v>
      </c>
      <c r="C42" s="190">
        <v>6.4401690900000003E-2</v>
      </c>
      <c r="D42" s="190">
        <v>6.3903143329999995E-2</v>
      </c>
      <c r="E42" s="190">
        <v>6.3017184599999998E-2</v>
      </c>
      <c r="F42" s="190">
        <v>6.2880084150000001E-2</v>
      </c>
      <c r="G42" s="190">
        <v>6.3351856179999999E-2</v>
      </c>
      <c r="H42" s="190">
        <v>6.1272595899999997E-2</v>
      </c>
      <c r="I42" s="190">
        <v>6.5477238069999999E-2</v>
      </c>
      <c r="J42" s="190">
        <v>6.646053918E-2</v>
      </c>
      <c r="K42" s="15"/>
      <c r="L42" s="15"/>
      <c r="M42" s="15"/>
    </row>
    <row r="43" spans="1:13" ht="13.8" outlineLevel="4" x14ac:dyDescent="0.3">
      <c r="A43" s="189" t="s">
        <v>27</v>
      </c>
      <c r="B43" s="190">
        <v>3.3614525393500001</v>
      </c>
      <c r="C43" s="190">
        <v>3.4177562950000002</v>
      </c>
      <c r="D43" s="190">
        <v>3.3613226463900001</v>
      </c>
      <c r="E43" s="190">
        <v>3.2673921362699998</v>
      </c>
      <c r="F43" s="190">
        <v>3.3251325285200002</v>
      </c>
      <c r="G43" s="190">
        <v>3.2250691692400002</v>
      </c>
      <c r="H43" s="190">
        <v>3.1680697472900001</v>
      </c>
      <c r="I43" s="190">
        <v>3.2062792833299998</v>
      </c>
      <c r="J43" s="190">
        <v>3.2410563487599999</v>
      </c>
      <c r="K43" s="15"/>
      <c r="L43" s="15"/>
      <c r="M43" s="15"/>
    </row>
    <row r="44" spans="1:13" ht="13.8" outlineLevel="4" x14ac:dyDescent="0.3">
      <c r="A44" s="189" t="s">
        <v>28</v>
      </c>
      <c r="B44" s="190">
        <v>61.366317240180003</v>
      </c>
      <c r="C44" s="190">
        <v>62.39419256851</v>
      </c>
      <c r="D44" s="190">
        <v>61.61151490788</v>
      </c>
      <c r="E44" s="190">
        <v>59.936838675769998</v>
      </c>
      <c r="F44" s="190">
        <v>60.989534868530001</v>
      </c>
      <c r="G44" s="190">
        <v>60.567417509569999</v>
      </c>
      <c r="H44" s="190">
        <v>62.25431653303</v>
      </c>
      <c r="I44" s="190">
        <v>62.603517071070002</v>
      </c>
      <c r="J44" s="190">
        <v>63.543662208740002</v>
      </c>
      <c r="K44" s="15"/>
      <c r="L44" s="15"/>
      <c r="M44" s="15"/>
    </row>
    <row r="45" spans="1:13" ht="13.8" outlineLevel="4" x14ac:dyDescent="0.3">
      <c r="A45" s="189" t="s">
        <v>29</v>
      </c>
      <c r="B45" s="190">
        <v>21.307668778739998</v>
      </c>
      <c r="C45" s="190">
        <v>21.664568590030001</v>
      </c>
      <c r="D45" s="190">
        <v>21.3928065371</v>
      </c>
      <c r="E45" s="190">
        <v>20.811323924660002</v>
      </c>
      <c r="F45" s="190">
        <v>21.197156199769999</v>
      </c>
      <c r="G45" s="190">
        <v>20.85440715351</v>
      </c>
      <c r="H45" s="190">
        <v>20.47573505882</v>
      </c>
      <c r="I45" s="190">
        <v>20.590588744440002</v>
      </c>
      <c r="J45" s="190">
        <v>20.89980686501</v>
      </c>
      <c r="K45" s="15"/>
      <c r="L45" s="15"/>
      <c r="M45" s="15"/>
    </row>
    <row r="46" spans="1:13" ht="13.8" outlineLevel="4" x14ac:dyDescent="0.3">
      <c r="A46" s="189" t="s">
        <v>30</v>
      </c>
      <c r="B46" s="190">
        <v>6.6807060515199996</v>
      </c>
      <c r="C46" s="190">
        <v>6.6994474642200004</v>
      </c>
      <c r="D46" s="190">
        <v>6.6852582545599999</v>
      </c>
      <c r="E46" s="190">
        <v>6.6631378300400002</v>
      </c>
      <c r="F46" s="190">
        <v>6.6832849910999998</v>
      </c>
      <c r="G46" s="190">
        <v>6.6815742498199997</v>
      </c>
      <c r="H46" s="190">
        <v>6.6616150974500004</v>
      </c>
      <c r="I46" s="190">
        <v>6.6677251559400004</v>
      </c>
      <c r="J46" s="190">
        <v>6.5922608341400002</v>
      </c>
      <c r="K46" s="15"/>
      <c r="L46" s="15"/>
      <c r="M46" s="15"/>
    </row>
    <row r="47" spans="1:13" ht="13.8" outlineLevel="4" x14ac:dyDescent="0.3">
      <c r="A47" s="189" t="s">
        <v>31</v>
      </c>
      <c r="B47" s="190">
        <v>16.490269133049999</v>
      </c>
      <c r="C47" s="190">
        <v>16.4800344577</v>
      </c>
      <c r="D47" s="190">
        <v>16.36286914782</v>
      </c>
      <c r="E47" s="190">
        <v>16.312498412869999</v>
      </c>
      <c r="F47" s="190">
        <v>16.319334407039999</v>
      </c>
      <c r="G47" s="190">
        <v>16.300400910699999</v>
      </c>
      <c r="H47" s="190">
        <v>17.649142426539999</v>
      </c>
      <c r="I47" s="190">
        <v>18.127232321729998</v>
      </c>
      <c r="J47" s="190">
        <v>18.160870873170001</v>
      </c>
      <c r="K47" s="15"/>
      <c r="L47" s="15"/>
      <c r="M47" s="15"/>
    </row>
    <row r="48" spans="1:13" ht="13.8" outlineLevel="4" x14ac:dyDescent="0.3">
      <c r="A48" s="189" t="s">
        <v>32</v>
      </c>
      <c r="B48" s="190">
        <v>13.560402501</v>
      </c>
      <c r="C48" s="190">
        <v>13.509107140859999</v>
      </c>
      <c r="D48" s="190">
        <v>13.35372560203</v>
      </c>
      <c r="E48" s="190">
        <v>14.50553810623</v>
      </c>
      <c r="F48" s="190">
        <v>14.50014003081</v>
      </c>
      <c r="G48" s="190">
        <v>14.38009868352</v>
      </c>
      <c r="H48" s="190">
        <v>14.07668706149</v>
      </c>
      <c r="I48" s="190">
        <v>14.6697785893</v>
      </c>
      <c r="J48" s="190">
        <v>14.640149653570001</v>
      </c>
      <c r="K48" s="15"/>
      <c r="L48" s="15"/>
      <c r="M48" s="15"/>
    </row>
    <row r="49" spans="1:13" ht="13.8" outlineLevel="4" x14ac:dyDescent="0.3">
      <c r="A49" s="189" t="s">
        <v>33</v>
      </c>
      <c r="B49" s="190">
        <v>0.10424044664</v>
      </c>
      <c r="C49" s="190">
        <v>0.1019758549</v>
      </c>
      <c r="D49" s="190">
        <v>0.10230789328000001</v>
      </c>
      <c r="E49" s="190">
        <v>0.10230789328000001</v>
      </c>
      <c r="F49" s="190">
        <v>0.10230789328000001</v>
      </c>
      <c r="G49" s="190">
        <v>0.10230789328000001</v>
      </c>
      <c r="H49" s="190">
        <v>9.7903769119999998E-2</v>
      </c>
      <c r="I49" s="190">
        <v>9.5482519119999998E-2</v>
      </c>
      <c r="J49" s="190">
        <v>9.5482519119999998E-2</v>
      </c>
      <c r="K49" s="15"/>
      <c r="L49" s="15"/>
      <c r="M49" s="15"/>
    </row>
    <row r="50" spans="1:13" ht="13.8" outlineLevel="3" x14ac:dyDescent="0.3">
      <c r="A50" s="191" t="s">
        <v>34</v>
      </c>
      <c r="B50" s="190">
        <f t="shared" ref="B50:J50" si="12">SUM(B$51:B$60)</f>
        <v>8.090534922869999</v>
      </c>
      <c r="C50" s="190">
        <f t="shared" si="12"/>
        <v>8.2015781664999992</v>
      </c>
      <c r="D50" s="190">
        <f t="shared" si="12"/>
        <v>8.109373216969999</v>
      </c>
      <c r="E50" s="190">
        <f t="shared" si="12"/>
        <v>7.9609203969299998</v>
      </c>
      <c r="F50" s="190">
        <f t="shared" si="12"/>
        <v>8.085673697839999</v>
      </c>
      <c r="G50" s="190">
        <f t="shared" si="12"/>
        <v>8.0180352702400004</v>
      </c>
      <c r="H50" s="190">
        <f t="shared" si="12"/>
        <v>7.8591449405599993</v>
      </c>
      <c r="I50" s="190">
        <f t="shared" si="12"/>
        <v>7.9418779487999984</v>
      </c>
      <c r="J50" s="190">
        <f t="shared" si="12"/>
        <v>8.0544491854799993</v>
      </c>
      <c r="K50" s="15"/>
      <c r="L50" s="15"/>
      <c r="M50" s="15"/>
    </row>
    <row r="51" spans="1:13" ht="13.8" outlineLevel="4" x14ac:dyDescent="0.3">
      <c r="A51" s="189" t="s">
        <v>35</v>
      </c>
      <c r="B51" s="190">
        <v>2.5666994799999999E-2</v>
      </c>
      <c r="C51" s="190">
        <v>2.626031794E-2</v>
      </c>
      <c r="D51" s="190">
        <v>2.57639718E-2</v>
      </c>
      <c r="E51" s="190">
        <v>2.516496335E-2</v>
      </c>
      <c r="F51" s="190">
        <v>2.5684094840000001E-2</v>
      </c>
      <c r="G51" s="190">
        <v>2.5497745119999998E-2</v>
      </c>
      <c r="H51" s="190">
        <v>2.5163051419999999E-2</v>
      </c>
      <c r="I51" s="190">
        <v>2.5454009739999998E-2</v>
      </c>
      <c r="J51" s="190">
        <v>2.5834923379999999E-2</v>
      </c>
      <c r="K51" s="15"/>
      <c r="L51" s="15"/>
      <c r="M51" s="15"/>
    </row>
    <row r="52" spans="1:13" ht="13.8" outlineLevel="4" x14ac:dyDescent="0.3">
      <c r="A52" s="189" t="s">
        <v>36</v>
      </c>
      <c r="B52" s="190">
        <v>0.23523985675</v>
      </c>
      <c r="C52" s="190">
        <v>0.23918008416</v>
      </c>
      <c r="D52" s="190">
        <v>0.23617979036</v>
      </c>
      <c r="E52" s="190">
        <v>0.22976013516999999</v>
      </c>
      <c r="F52" s="190">
        <v>0.23401978132000001</v>
      </c>
      <c r="G52" s="190">
        <v>0.23240009669</v>
      </c>
      <c r="H52" s="190">
        <v>0.22818020058999999</v>
      </c>
      <c r="I52" s="190">
        <v>0.22946012226000001</v>
      </c>
      <c r="J52" s="190">
        <v>0.23290602798999999</v>
      </c>
      <c r="K52" s="15"/>
      <c r="L52" s="15"/>
      <c r="M52" s="15"/>
    </row>
    <row r="53" spans="1:13" ht="13.8" outlineLevel="4" x14ac:dyDescent="0.3">
      <c r="A53" s="189" t="s">
        <v>37</v>
      </c>
      <c r="B53" s="190">
        <v>5.31800980547</v>
      </c>
      <c r="C53" s="190">
        <v>5.3835577219199999</v>
      </c>
      <c r="D53" s="190">
        <v>5.3277360375100002</v>
      </c>
      <c r="E53" s="190">
        <v>5.2415877968100002</v>
      </c>
      <c r="F53" s="190">
        <v>5.3273670912700002</v>
      </c>
      <c r="G53" s="190">
        <v>5.2664473462799997</v>
      </c>
      <c r="H53" s="190">
        <v>5.1448243584000002</v>
      </c>
      <c r="I53" s="190">
        <v>5.19878395927</v>
      </c>
      <c r="J53" s="190">
        <v>5.2664139310899998</v>
      </c>
      <c r="K53" s="15"/>
      <c r="L53" s="15"/>
      <c r="M53" s="15"/>
    </row>
    <row r="54" spans="1:13" ht="13.8" outlineLevel="4" x14ac:dyDescent="0.3">
      <c r="A54" s="189" t="s">
        <v>38</v>
      </c>
      <c r="B54" s="190">
        <v>0.23523985675</v>
      </c>
      <c r="C54" s="190">
        <v>0.23918008416</v>
      </c>
      <c r="D54" s="190">
        <v>0.23617979036</v>
      </c>
      <c r="E54" s="190">
        <v>0.22976013516999999</v>
      </c>
      <c r="F54" s="190">
        <v>0.23401978132000001</v>
      </c>
      <c r="G54" s="190">
        <v>0.23240009669</v>
      </c>
      <c r="H54" s="190">
        <v>0.22818020058999999</v>
      </c>
      <c r="I54" s="190">
        <v>0.22946012226000001</v>
      </c>
      <c r="J54" s="190">
        <v>0.23290602798999999</v>
      </c>
      <c r="K54" s="15"/>
      <c r="L54" s="15"/>
      <c r="M54" s="15"/>
    </row>
    <row r="55" spans="1:13" ht="13.8" outlineLevel="4" x14ac:dyDescent="0.3">
      <c r="A55" s="189" t="s">
        <v>39</v>
      </c>
      <c r="B55" s="190">
        <v>0.66596793425</v>
      </c>
      <c r="C55" s="190">
        <v>0.67712278336999998</v>
      </c>
      <c r="D55" s="190">
        <v>0.66983757205000005</v>
      </c>
      <c r="E55" s="190">
        <v>0.65163056865000002</v>
      </c>
      <c r="F55" s="190">
        <v>0.66371149660999995</v>
      </c>
      <c r="G55" s="190">
        <v>0.65985777094999998</v>
      </c>
      <c r="H55" s="190">
        <v>0.64787614412000005</v>
      </c>
      <c r="I55" s="190">
        <v>0.65173539897999999</v>
      </c>
      <c r="J55" s="190">
        <v>0.66239069313999999</v>
      </c>
      <c r="K55" s="15"/>
      <c r="L55" s="15"/>
      <c r="M55" s="15"/>
    </row>
    <row r="56" spans="1:13" ht="13.8" outlineLevel="4" x14ac:dyDescent="0.3">
      <c r="A56" s="189" t="s">
        <v>40</v>
      </c>
      <c r="B56" s="190">
        <v>0.13180856229999999</v>
      </c>
      <c r="C56" s="190">
        <v>0.1340163332</v>
      </c>
      <c r="D56" s="190">
        <v>0.13233522177000001</v>
      </c>
      <c r="E56" s="190">
        <v>0.12846059991</v>
      </c>
      <c r="F56" s="190">
        <v>0.13520539677000001</v>
      </c>
      <c r="G56" s="190">
        <v>0.13432370031999999</v>
      </c>
      <c r="H56" s="190">
        <v>0.13758460634</v>
      </c>
      <c r="I56" s="190">
        <v>0.13935501076000001</v>
      </c>
      <c r="J56" s="190">
        <v>0.14144776754999999</v>
      </c>
      <c r="K56" s="15"/>
      <c r="L56" s="15"/>
      <c r="M56" s="15"/>
    </row>
    <row r="57" spans="1:13" ht="13.8" outlineLevel="4" x14ac:dyDescent="0.3">
      <c r="A57" s="189" t="s">
        <v>41</v>
      </c>
      <c r="B57" s="190">
        <v>0.1</v>
      </c>
      <c r="C57" s="190">
        <v>0.1</v>
      </c>
      <c r="D57" s="190">
        <v>0.1</v>
      </c>
      <c r="E57" s="190">
        <v>0.1</v>
      </c>
      <c r="F57" s="190">
        <v>0.1</v>
      </c>
      <c r="G57" s="190">
        <v>0.1</v>
      </c>
      <c r="H57" s="190">
        <v>0.1</v>
      </c>
      <c r="I57" s="190">
        <v>0.1</v>
      </c>
      <c r="J57" s="190">
        <v>0.1</v>
      </c>
      <c r="K57" s="15"/>
      <c r="L57" s="15"/>
      <c r="M57" s="15"/>
    </row>
    <row r="58" spans="1:13" ht="13.8" outlineLevel="4" x14ac:dyDescent="0.3">
      <c r="A58" s="189" t="s">
        <v>42</v>
      </c>
      <c r="B58" s="190">
        <v>5.1251526E-4</v>
      </c>
      <c r="C58" s="190">
        <v>5.1251526E-4</v>
      </c>
      <c r="D58" s="190">
        <v>5.1251526E-4</v>
      </c>
      <c r="E58" s="190">
        <v>5.1251526E-4</v>
      </c>
      <c r="F58" s="190">
        <v>5.1251526E-4</v>
      </c>
      <c r="G58" s="190">
        <v>5.1251526E-4</v>
      </c>
      <c r="H58" s="190">
        <v>5.1251526E-4</v>
      </c>
      <c r="I58" s="190">
        <v>5.1251526E-4</v>
      </c>
      <c r="J58" s="190">
        <v>5.1251526E-4</v>
      </c>
      <c r="K58" s="15"/>
      <c r="L58" s="15"/>
      <c r="M58" s="15"/>
    </row>
    <row r="59" spans="1:13" ht="13.8" outlineLevel="4" x14ac:dyDescent="0.3">
      <c r="A59" s="189" t="s">
        <v>43</v>
      </c>
      <c r="B59" s="190">
        <v>0.52289665883000003</v>
      </c>
      <c r="C59" s="190">
        <v>0.53165508851999999</v>
      </c>
      <c r="D59" s="190">
        <v>0.52637621367999998</v>
      </c>
      <c r="E59" s="190">
        <v>0.51793409026000004</v>
      </c>
      <c r="F59" s="190">
        <v>0.53081720496999996</v>
      </c>
      <c r="G59" s="190">
        <v>0.53020090140999998</v>
      </c>
      <c r="H59" s="190">
        <v>0.52268987279000001</v>
      </c>
      <c r="I59" s="190">
        <v>0.53885103228999998</v>
      </c>
      <c r="J59" s="190">
        <v>0.54694320029999999</v>
      </c>
      <c r="K59" s="15"/>
      <c r="L59" s="15"/>
      <c r="M59" s="15"/>
    </row>
    <row r="60" spans="1:13" ht="13.8" outlineLevel="4" x14ac:dyDescent="0.3">
      <c r="A60" s="189" t="s">
        <v>44</v>
      </c>
      <c r="B60" s="190">
        <v>0.85519273845999999</v>
      </c>
      <c r="C60" s="190">
        <v>0.87009323797000004</v>
      </c>
      <c r="D60" s="190">
        <v>0.85445210417999995</v>
      </c>
      <c r="E60" s="190">
        <v>0.83610959235000004</v>
      </c>
      <c r="F60" s="190">
        <v>0.83433633547999997</v>
      </c>
      <c r="G60" s="190">
        <v>0.83639509751999996</v>
      </c>
      <c r="H60" s="190">
        <v>0.82413399104999996</v>
      </c>
      <c r="I60" s="190">
        <v>0.82826577798000001</v>
      </c>
      <c r="J60" s="190">
        <v>0.84509409877999997</v>
      </c>
      <c r="K60" s="15"/>
      <c r="L60" s="15"/>
      <c r="M60" s="15"/>
    </row>
    <row r="61" spans="1:13" ht="13.8" outlineLevel="3" x14ac:dyDescent="0.3">
      <c r="A61" s="191" t="s">
        <v>45</v>
      </c>
      <c r="B61" s="190">
        <f t="shared" ref="B61:J61" si="13">SUM(B$62:B$62)</f>
        <v>0.60585586000000002</v>
      </c>
      <c r="C61" s="190">
        <f t="shared" si="13"/>
        <v>0.60585586000000002</v>
      </c>
      <c r="D61" s="190">
        <f t="shared" si="13"/>
        <v>0.60585586000000002</v>
      </c>
      <c r="E61" s="190">
        <f t="shared" si="13"/>
        <v>0.60585586000000002</v>
      </c>
      <c r="F61" s="190">
        <f t="shared" si="13"/>
        <v>0.60585586000000002</v>
      </c>
      <c r="G61" s="190">
        <f t="shared" si="13"/>
        <v>0.60585586000000002</v>
      </c>
      <c r="H61" s="190">
        <f t="shared" si="13"/>
        <v>0.60585586000000002</v>
      </c>
      <c r="I61" s="190">
        <f t="shared" si="13"/>
        <v>0.60585586000000002</v>
      </c>
      <c r="J61" s="190">
        <f t="shared" si="13"/>
        <v>0.60585586000000002</v>
      </c>
      <c r="K61" s="15"/>
      <c r="L61" s="15"/>
      <c r="M61" s="15"/>
    </row>
    <row r="62" spans="1:13" ht="13.8" outlineLevel="4" x14ac:dyDescent="0.3">
      <c r="A62" s="189" t="s">
        <v>46</v>
      </c>
      <c r="B62" s="190">
        <v>0.60585586000000002</v>
      </c>
      <c r="C62" s="190">
        <v>0.60585586000000002</v>
      </c>
      <c r="D62" s="190">
        <v>0.60585586000000002</v>
      </c>
      <c r="E62" s="190">
        <v>0.60585586000000002</v>
      </c>
      <c r="F62" s="190">
        <v>0.60585586000000002</v>
      </c>
      <c r="G62" s="190">
        <v>0.60585586000000002</v>
      </c>
      <c r="H62" s="190">
        <v>0.60585586000000002</v>
      </c>
      <c r="I62" s="190">
        <v>0.60585586000000002</v>
      </c>
      <c r="J62" s="190">
        <v>0.60585586000000002</v>
      </c>
      <c r="K62" s="15"/>
      <c r="L62" s="15"/>
      <c r="M62" s="15"/>
    </row>
    <row r="63" spans="1:13" ht="13.8" outlineLevel="3" x14ac:dyDescent="0.3">
      <c r="A63" s="191" t="s">
        <v>47</v>
      </c>
      <c r="B63" s="190">
        <f t="shared" ref="B63:J63" si="14">SUM(B$64:B$69)</f>
        <v>2.1403457080400003</v>
      </c>
      <c r="C63" s="190">
        <f t="shared" si="14"/>
        <v>2.1814142411900002</v>
      </c>
      <c r="D63" s="190">
        <f t="shared" si="14"/>
        <v>2.1185340634699998</v>
      </c>
      <c r="E63" s="190">
        <f t="shared" si="14"/>
        <v>2.1036939244599999</v>
      </c>
      <c r="F63" s="190">
        <f t="shared" si="14"/>
        <v>2.1649758605699998</v>
      </c>
      <c r="G63" s="190">
        <f t="shared" si="14"/>
        <v>2.2074487435400001</v>
      </c>
      <c r="H63" s="190">
        <f t="shared" si="14"/>
        <v>2.1388595197</v>
      </c>
      <c r="I63" s="190">
        <f t="shared" si="14"/>
        <v>2.15642997536</v>
      </c>
      <c r="J63" s="190">
        <f t="shared" si="14"/>
        <v>2.2171012581099996</v>
      </c>
      <c r="K63" s="15"/>
      <c r="L63" s="15"/>
      <c r="M63" s="15"/>
    </row>
    <row r="64" spans="1:13" ht="13.8" outlineLevel="4" x14ac:dyDescent="0.3">
      <c r="A64" s="189" t="s">
        <v>48</v>
      </c>
      <c r="B64" s="190">
        <v>0.76452953451000005</v>
      </c>
      <c r="C64" s="190">
        <v>0.77733527353999998</v>
      </c>
      <c r="D64" s="190">
        <v>0.76758431869999999</v>
      </c>
      <c r="E64" s="190">
        <v>0.74672043934999999</v>
      </c>
      <c r="F64" s="190">
        <v>0.76056428929999997</v>
      </c>
      <c r="G64" s="190">
        <v>0.75530031419999999</v>
      </c>
      <c r="H64" s="190">
        <v>0.74158565190000003</v>
      </c>
      <c r="I64" s="190">
        <v>0.74574539735000001</v>
      </c>
      <c r="J64" s="190">
        <v>0.75694459099</v>
      </c>
      <c r="K64" s="15"/>
      <c r="L64" s="15"/>
      <c r="M64" s="15"/>
    </row>
    <row r="65" spans="1:13" ht="13.8" outlineLevel="4" x14ac:dyDescent="0.3">
      <c r="A65" s="189" t="s">
        <v>49</v>
      </c>
      <c r="B65" s="190">
        <v>6.0138130000000002E-5</v>
      </c>
      <c r="C65" s="190">
        <v>6.1145430000000001E-5</v>
      </c>
      <c r="D65" s="190">
        <v>6.0378419999999999E-5</v>
      </c>
      <c r="E65" s="190">
        <v>5.8737260000000001E-5</v>
      </c>
      <c r="F65" s="190">
        <v>5.9826220000000001E-5</v>
      </c>
      <c r="G65" s="190">
        <v>5.9412159999999997E-5</v>
      </c>
      <c r="H65" s="190">
        <v>5.8333359999999997E-5</v>
      </c>
      <c r="I65" s="190">
        <v>5.8660560000000003E-5</v>
      </c>
      <c r="J65" s="190">
        <v>5.9541489999999998E-5</v>
      </c>
      <c r="K65" s="15"/>
      <c r="L65" s="15"/>
      <c r="M65" s="15"/>
    </row>
    <row r="66" spans="1:13" ht="13.8" outlineLevel="4" x14ac:dyDescent="0.3">
      <c r="A66" s="189" t="s">
        <v>50</v>
      </c>
      <c r="B66" s="190">
        <v>0.64078381520000005</v>
      </c>
      <c r="C66" s="190">
        <v>0.65552104869000005</v>
      </c>
      <c r="D66" s="190">
        <v>0.64320744254999995</v>
      </c>
      <c r="E66" s="190">
        <v>0.67899402690999999</v>
      </c>
      <c r="F66" s="190">
        <v>0.69297696543999998</v>
      </c>
      <c r="G66" s="190">
        <v>0.75257433239000004</v>
      </c>
      <c r="H66" s="190">
        <v>0.74187257993</v>
      </c>
      <c r="I66" s="190">
        <v>0.75037451482999995</v>
      </c>
      <c r="J66" s="190">
        <v>0.82491232078999999</v>
      </c>
      <c r="K66" s="15"/>
      <c r="L66" s="15"/>
      <c r="M66" s="15"/>
    </row>
    <row r="67" spans="1:13" ht="13.8" outlineLevel="4" x14ac:dyDescent="0.3">
      <c r="A67" s="189" t="s">
        <v>51</v>
      </c>
      <c r="B67" s="190">
        <v>0.17184045173000001</v>
      </c>
      <c r="C67" s="190">
        <v>0.17471874995</v>
      </c>
      <c r="D67" s="190">
        <v>0.17078591914999999</v>
      </c>
      <c r="E67" s="190">
        <v>0.15486576600999999</v>
      </c>
      <c r="F67" s="190">
        <v>0.15773690535000001</v>
      </c>
      <c r="G67" s="190">
        <v>0.14977925575000001</v>
      </c>
      <c r="H67" s="190">
        <v>0.14268652226</v>
      </c>
      <c r="I67" s="190">
        <v>0.14348688781999999</v>
      </c>
      <c r="J67" s="190">
        <v>0.13872094767000001</v>
      </c>
      <c r="K67" s="15"/>
      <c r="L67" s="15"/>
      <c r="M67" s="15"/>
    </row>
    <row r="68" spans="1:13" ht="13.8" outlineLevel="4" x14ac:dyDescent="0.3">
      <c r="A68" s="189" t="s">
        <v>52</v>
      </c>
      <c r="B68" s="190">
        <v>0.37245860745999998</v>
      </c>
      <c r="C68" s="190">
        <v>0.37869722550000001</v>
      </c>
      <c r="D68" s="190">
        <v>0.34550242778000001</v>
      </c>
      <c r="E68" s="190">
        <v>0.33611124977000001</v>
      </c>
      <c r="F68" s="190">
        <v>0.34234259617000001</v>
      </c>
      <c r="G68" s="190">
        <v>0.33997319373000001</v>
      </c>
      <c r="H68" s="190">
        <v>0.30564762076000002</v>
      </c>
      <c r="I68" s="190">
        <v>0.30736207719000003</v>
      </c>
      <c r="J68" s="190">
        <v>0.28392775829</v>
      </c>
      <c r="K68" s="15"/>
      <c r="L68" s="15"/>
      <c r="M68" s="15"/>
    </row>
    <row r="69" spans="1:13" ht="13.8" outlineLevel="4" x14ac:dyDescent="0.3">
      <c r="A69" s="189" t="s">
        <v>53</v>
      </c>
      <c r="B69" s="190">
        <v>0.19067316101000001</v>
      </c>
      <c r="C69" s="190">
        <v>0.19508079808000001</v>
      </c>
      <c r="D69" s="190">
        <v>0.19139357687</v>
      </c>
      <c r="E69" s="190">
        <v>0.18694370516</v>
      </c>
      <c r="F69" s="190">
        <v>0.21129527809000001</v>
      </c>
      <c r="G69" s="190">
        <v>0.20976223530999999</v>
      </c>
      <c r="H69" s="190">
        <v>0.20700881149</v>
      </c>
      <c r="I69" s="190">
        <v>0.20940243760999999</v>
      </c>
      <c r="J69" s="190">
        <v>0.21253609888</v>
      </c>
      <c r="K69" s="15"/>
      <c r="L69" s="15"/>
      <c r="M69" s="15"/>
    </row>
    <row r="70" spans="1:13" ht="13.8" outlineLevel="3" x14ac:dyDescent="0.3">
      <c r="A70" s="191" t="s">
        <v>54</v>
      </c>
      <c r="B70" s="190">
        <f t="shared" ref="B70:J70" si="15">SUM(B$71:B$72)</f>
        <v>18.750640004000001</v>
      </c>
      <c r="C70" s="190">
        <f t="shared" si="15"/>
        <v>18.750640004000001</v>
      </c>
      <c r="D70" s="190">
        <f t="shared" si="15"/>
        <v>18.750640004000001</v>
      </c>
      <c r="E70" s="190">
        <f t="shared" si="15"/>
        <v>18.750640004000001</v>
      </c>
      <c r="F70" s="190">
        <f t="shared" si="15"/>
        <v>18.750640004000001</v>
      </c>
      <c r="G70" s="190">
        <f t="shared" si="15"/>
        <v>18.750640004000001</v>
      </c>
      <c r="H70" s="190">
        <f t="shared" si="15"/>
        <v>18.750640004000001</v>
      </c>
      <c r="I70" s="190">
        <f t="shared" si="15"/>
        <v>18.750640004000001</v>
      </c>
      <c r="J70" s="190">
        <f t="shared" si="15"/>
        <v>18.750640004000001</v>
      </c>
      <c r="K70" s="15"/>
      <c r="L70" s="15"/>
      <c r="M70" s="15"/>
    </row>
    <row r="71" spans="1:13" ht="13.8" outlineLevel="4" x14ac:dyDescent="0.3">
      <c r="A71" s="189" t="s">
        <v>61</v>
      </c>
      <c r="B71" s="190">
        <v>15.252974684</v>
      </c>
      <c r="C71" s="190">
        <v>15.252974684</v>
      </c>
      <c r="D71" s="190">
        <v>15.252974684</v>
      </c>
      <c r="E71" s="190">
        <v>15.252974684</v>
      </c>
      <c r="F71" s="190">
        <v>15.252974684</v>
      </c>
      <c r="G71" s="190">
        <v>15.252974684</v>
      </c>
      <c r="H71" s="190">
        <v>15.252974684</v>
      </c>
      <c r="I71" s="190">
        <v>15.252974684</v>
      </c>
      <c r="J71" s="190">
        <v>15.252974684</v>
      </c>
      <c r="K71" s="15"/>
      <c r="L71" s="15"/>
      <c r="M71" s="15"/>
    </row>
    <row r="72" spans="1:13" ht="13.8" outlineLevel="4" x14ac:dyDescent="0.3">
      <c r="A72" s="189" t="s">
        <v>62</v>
      </c>
      <c r="B72" s="190">
        <v>3.4976653199999999</v>
      </c>
      <c r="C72" s="190">
        <v>3.4976653199999999</v>
      </c>
      <c r="D72" s="190">
        <v>3.4976653199999999</v>
      </c>
      <c r="E72" s="190">
        <v>3.4976653199999999</v>
      </c>
      <c r="F72" s="190">
        <v>3.4976653199999999</v>
      </c>
      <c r="G72" s="190">
        <v>3.4976653199999999</v>
      </c>
      <c r="H72" s="190">
        <v>3.4976653199999999</v>
      </c>
      <c r="I72" s="190">
        <v>3.4976653199999999</v>
      </c>
      <c r="J72" s="190">
        <v>3.4976653199999999</v>
      </c>
      <c r="K72" s="15"/>
      <c r="L72" s="15"/>
      <c r="M72" s="15"/>
    </row>
    <row r="73" spans="1:13" ht="13.8" outlineLevel="3" x14ac:dyDescent="0.3">
      <c r="A73" s="191" t="s">
        <v>63</v>
      </c>
      <c r="B73" s="190">
        <f t="shared" ref="B73:J73" si="16">SUM(B$74:B$74)</f>
        <v>3</v>
      </c>
      <c r="C73" s="190">
        <f t="shared" si="16"/>
        <v>3</v>
      </c>
      <c r="D73" s="190">
        <f t="shared" si="16"/>
        <v>3</v>
      </c>
      <c r="E73" s="190">
        <f t="shared" si="16"/>
        <v>3</v>
      </c>
      <c r="F73" s="190">
        <f t="shared" si="16"/>
        <v>3</v>
      </c>
      <c r="G73" s="190">
        <f t="shared" si="16"/>
        <v>3</v>
      </c>
      <c r="H73" s="190">
        <f t="shared" si="16"/>
        <v>3</v>
      </c>
      <c r="I73" s="190">
        <f t="shared" si="16"/>
        <v>3</v>
      </c>
      <c r="J73" s="190">
        <f t="shared" si="16"/>
        <v>3</v>
      </c>
      <c r="K73" s="15"/>
      <c r="L73" s="15"/>
      <c r="M73" s="15"/>
    </row>
    <row r="74" spans="1:13" ht="13.8" outlineLevel="4" x14ac:dyDescent="0.3">
      <c r="A74" s="189" t="s">
        <v>64</v>
      </c>
      <c r="B74" s="190">
        <v>3</v>
      </c>
      <c r="C74" s="190">
        <v>3</v>
      </c>
      <c r="D74" s="190">
        <v>3</v>
      </c>
      <c r="E74" s="190">
        <v>3</v>
      </c>
      <c r="F74" s="190">
        <v>3</v>
      </c>
      <c r="G74" s="190">
        <v>3</v>
      </c>
      <c r="H74" s="190">
        <v>3</v>
      </c>
      <c r="I74" s="190">
        <v>3</v>
      </c>
      <c r="J74" s="190">
        <v>3</v>
      </c>
      <c r="K74" s="15"/>
      <c r="L74" s="15"/>
      <c r="M74" s="15"/>
    </row>
    <row r="75" spans="1:13" ht="13.8" outlineLevel="3" x14ac:dyDescent="0.3">
      <c r="A75" s="191" t="s">
        <v>65</v>
      </c>
      <c r="B75" s="190">
        <f t="shared" ref="B75:J75" si="17">SUM(B$76:B$76)</f>
        <v>4.3224518968499996</v>
      </c>
      <c r="C75" s="190">
        <f t="shared" si="17"/>
        <v>4.36148590098</v>
      </c>
      <c r="D75" s="190">
        <f t="shared" si="17"/>
        <v>4.3390607894600004</v>
      </c>
      <c r="E75" s="190">
        <f t="shared" si="17"/>
        <v>4.2810654884700003</v>
      </c>
      <c r="F75" s="190">
        <f t="shared" si="17"/>
        <v>4.3303869341799999</v>
      </c>
      <c r="G75" s="190">
        <f t="shared" si="17"/>
        <v>4.3200854063999996</v>
      </c>
      <c r="H75" s="190">
        <f t="shared" si="17"/>
        <v>4.2801598616399996</v>
      </c>
      <c r="I75" s="190">
        <f t="shared" si="17"/>
        <v>4.3040671994400004</v>
      </c>
      <c r="J75" s="190">
        <f t="shared" si="17"/>
        <v>4.3204756708399996</v>
      </c>
      <c r="K75" s="15"/>
      <c r="L75" s="15"/>
      <c r="M75" s="15"/>
    </row>
    <row r="76" spans="1:13" ht="13.8" outlineLevel="4" x14ac:dyDescent="0.3">
      <c r="A76" s="189" t="s">
        <v>32</v>
      </c>
      <c r="B76" s="190">
        <v>4.3224518968499996</v>
      </c>
      <c r="C76" s="190">
        <v>4.36148590098</v>
      </c>
      <c r="D76" s="190">
        <v>4.3390607894600004</v>
      </c>
      <c r="E76" s="190">
        <v>4.2810654884700003</v>
      </c>
      <c r="F76" s="190">
        <v>4.3303869341799999</v>
      </c>
      <c r="G76" s="190">
        <v>4.3200854063999996</v>
      </c>
      <c r="H76" s="190">
        <v>4.2801598616399996</v>
      </c>
      <c r="I76" s="190">
        <v>4.3040671994400004</v>
      </c>
      <c r="J76" s="190">
        <v>4.3204756708399996</v>
      </c>
      <c r="K76" s="15"/>
      <c r="L76" s="15"/>
      <c r="M76" s="15"/>
    </row>
    <row r="77" spans="1:13" ht="14.4" outlineLevel="2" x14ac:dyDescent="0.3">
      <c r="A77" s="192" t="s">
        <v>2</v>
      </c>
      <c r="B77" s="193">
        <f t="shared" ref="B77:J77" si="18">B$78+B$85+B$88+B$90+B$92</f>
        <v>5.0106066648100001</v>
      </c>
      <c r="C77" s="193">
        <f t="shared" si="18"/>
        <v>5.0437673170900013</v>
      </c>
      <c r="D77" s="193">
        <f t="shared" si="18"/>
        <v>4.81080901179</v>
      </c>
      <c r="E77" s="193">
        <f t="shared" si="18"/>
        <v>4.4934013783400006</v>
      </c>
      <c r="F77" s="193">
        <f t="shared" si="18"/>
        <v>4.4178500679099999</v>
      </c>
      <c r="G77" s="193">
        <f t="shared" si="18"/>
        <v>4.4352630030100002</v>
      </c>
      <c r="H77" s="193">
        <f t="shared" si="18"/>
        <v>4.4015267952399997</v>
      </c>
      <c r="I77" s="193">
        <f t="shared" si="18"/>
        <v>4.4164902407</v>
      </c>
      <c r="J77" s="193">
        <f t="shared" si="18"/>
        <v>4.39947909218</v>
      </c>
      <c r="K77" s="15"/>
      <c r="L77" s="15"/>
      <c r="M77" s="15"/>
    </row>
    <row r="78" spans="1:13" ht="13.8" outlineLevel="3" x14ac:dyDescent="0.3">
      <c r="A78" s="191" t="s">
        <v>23</v>
      </c>
      <c r="B78" s="190">
        <f t="shared" ref="B78:J78" si="19">SUM(B$79:B$84)</f>
        <v>3.0446349742200001</v>
      </c>
      <c r="C78" s="190">
        <f t="shared" si="19"/>
        <v>3.0798496101800006</v>
      </c>
      <c r="D78" s="190">
        <f t="shared" si="19"/>
        <v>2.8479411351600001</v>
      </c>
      <c r="E78" s="190">
        <f t="shared" si="19"/>
        <v>2.5330381701300002</v>
      </c>
      <c r="F78" s="190">
        <f t="shared" si="19"/>
        <v>2.4555452232499997</v>
      </c>
      <c r="G78" s="190">
        <f t="shared" si="19"/>
        <v>2.4771583376099997</v>
      </c>
      <c r="H78" s="190">
        <f t="shared" si="19"/>
        <v>2.4451150711299996</v>
      </c>
      <c r="I78" s="190">
        <f t="shared" si="19"/>
        <v>2.4629406085299999</v>
      </c>
      <c r="J78" s="190">
        <f t="shared" si="19"/>
        <v>2.4449649041699999</v>
      </c>
      <c r="K78" s="15"/>
      <c r="L78" s="15"/>
      <c r="M78" s="15"/>
    </row>
    <row r="79" spans="1:13" ht="13.8" outlineLevel="4" x14ac:dyDescent="0.3">
      <c r="A79" s="189" t="s">
        <v>81</v>
      </c>
      <c r="B79" s="190">
        <v>0.35285978512999999</v>
      </c>
      <c r="C79" s="190">
        <v>0.35877012623999999</v>
      </c>
      <c r="D79" s="190">
        <v>0.35426968554999999</v>
      </c>
      <c r="E79" s="190">
        <v>0.34464020276000001</v>
      </c>
      <c r="F79" s="190">
        <v>0.35102967197000001</v>
      </c>
      <c r="G79" s="190">
        <v>0.34860014502999997</v>
      </c>
      <c r="H79" s="190">
        <v>0.34227030087999999</v>
      </c>
      <c r="I79" s="190">
        <v>0.34419018339000002</v>
      </c>
      <c r="J79" s="190">
        <v>0.34935904199000001</v>
      </c>
      <c r="K79" s="15"/>
      <c r="L79" s="15"/>
      <c r="M79" s="15"/>
    </row>
    <row r="80" spans="1:13" ht="13.8" outlineLevel="4" x14ac:dyDescent="0.3">
      <c r="A80" s="189" t="s">
        <v>26</v>
      </c>
      <c r="B80" s="190">
        <v>1.5755458677600001</v>
      </c>
      <c r="C80" s="190">
        <v>1.59897825201</v>
      </c>
      <c r="D80" s="190">
        <v>1.37938754559</v>
      </c>
      <c r="E80" s="190">
        <v>1.1599847480300001</v>
      </c>
      <c r="F80" s="190">
        <v>1.1637081298</v>
      </c>
      <c r="G80" s="190">
        <v>1.18954108938</v>
      </c>
      <c r="H80" s="190">
        <v>1.1690108717800001</v>
      </c>
      <c r="I80" s="190">
        <v>1.1738999021600001</v>
      </c>
      <c r="J80" s="190">
        <v>1.14285080928</v>
      </c>
      <c r="K80" s="15"/>
      <c r="L80" s="15"/>
      <c r="M80" s="15"/>
    </row>
    <row r="81" spans="1:13" ht="13.8" outlineLevel="4" x14ac:dyDescent="0.3">
      <c r="A81" s="189" t="s">
        <v>27</v>
      </c>
      <c r="B81" s="190">
        <v>0.21325653736</v>
      </c>
      <c r="C81" s="190">
        <v>0.21518213923000001</v>
      </c>
      <c r="D81" s="190">
        <v>0.21248287754</v>
      </c>
      <c r="E81" s="190">
        <v>0.20420994062</v>
      </c>
      <c r="F81" s="190">
        <v>0.20799589801999999</v>
      </c>
      <c r="G81" s="190">
        <v>0.20655632844999999</v>
      </c>
      <c r="H81" s="190">
        <v>0.20280570072000001</v>
      </c>
      <c r="I81" s="190">
        <v>0.20236378944</v>
      </c>
      <c r="J81" s="190">
        <v>0.20540277737000001</v>
      </c>
      <c r="K81" s="15"/>
      <c r="L81" s="15"/>
      <c r="M81" s="15"/>
    </row>
    <row r="82" spans="1:13" ht="13.8" outlineLevel="4" x14ac:dyDescent="0.3">
      <c r="A82" s="189" t="s">
        <v>31</v>
      </c>
      <c r="B82" s="190">
        <v>0.48725957650000001</v>
      </c>
      <c r="C82" s="190">
        <v>0.48746026481999999</v>
      </c>
      <c r="D82" s="190">
        <v>0.48443510483000002</v>
      </c>
      <c r="E82" s="190">
        <v>0.49334617572</v>
      </c>
      <c r="F82" s="190">
        <v>0.48204209587000002</v>
      </c>
      <c r="G82" s="190">
        <v>0.48228543075000002</v>
      </c>
      <c r="H82" s="190">
        <v>0.48315533853999998</v>
      </c>
      <c r="I82" s="190">
        <v>0.49323515095999998</v>
      </c>
      <c r="J82" s="190">
        <v>0.49715442519000003</v>
      </c>
      <c r="K82" s="15"/>
      <c r="L82" s="15"/>
      <c r="M82" s="15"/>
    </row>
    <row r="83" spans="1:13" ht="13.8" outlineLevel="4" x14ac:dyDescent="0.3">
      <c r="A83" s="189" t="s">
        <v>32</v>
      </c>
      <c r="B83" s="190">
        <v>0.41477333446999998</v>
      </c>
      <c r="C83" s="190">
        <v>0.41851895488000002</v>
      </c>
      <c r="D83" s="190">
        <v>0.41636708864999999</v>
      </c>
      <c r="E83" s="190">
        <v>0.32985827000000001</v>
      </c>
      <c r="F83" s="190">
        <v>0.24973109575999999</v>
      </c>
      <c r="G83" s="190">
        <v>0.24913701217000001</v>
      </c>
      <c r="H83" s="190">
        <v>0.24683452738</v>
      </c>
      <c r="I83" s="190">
        <v>0.24821325075</v>
      </c>
      <c r="J83" s="190">
        <v>0.24915951851000001</v>
      </c>
      <c r="K83" s="15"/>
      <c r="L83" s="15"/>
      <c r="M83" s="15"/>
    </row>
    <row r="84" spans="1:13" ht="13.8" outlineLevel="4" x14ac:dyDescent="0.3">
      <c r="A84" s="189" t="s">
        <v>33</v>
      </c>
      <c r="B84" s="190">
        <v>9.3987300000000003E-4</v>
      </c>
      <c r="C84" s="190">
        <v>9.3987300000000003E-4</v>
      </c>
      <c r="D84" s="190">
        <v>9.9883299999999997E-4</v>
      </c>
      <c r="E84" s="190">
        <v>9.9883299999999997E-4</v>
      </c>
      <c r="F84" s="190">
        <v>1.0383318299999999E-3</v>
      </c>
      <c r="G84" s="190">
        <v>1.0383318299999999E-3</v>
      </c>
      <c r="H84" s="190">
        <v>1.0383318299999999E-3</v>
      </c>
      <c r="I84" s="190">
        <v>1.0383318299999999E-3</v>
      </c>
      <c r="J84" s="190">
        <v>1.0383318299999999E-3</v>
      </c>
      <c r="K84" s="15"/>
      <c r="L84" s="15"/>
      <c r="M84" s="15"/>
    </row>
    <row r="85" spans="1:13" ht="13.8" outlineLevel="3" x14ac:dyDescent="0.3">
      <c r="A85" s="191" t="s">
        <v>82</v>
      </c>
      <c r="B85" s="190">
        <f t="shared" ref="B85:J85" si="20">SUM(B$86:B$87)</f>
        <v>0.86194240820000001</v>
      </c>
      <c r="C85" s="190">
        <f t="shared" si="20"/>
        <v>0.86256118722999997</v>
      </c>
      <c r="D85" s="190">
        <f t="shared" si="20"/>
        <v>0.86209001673999996</v>
      </c>
      <c r="E85" s="190">
        <f t="shared" si="20"/>
        <v>0.86108186477999993</v>
      </c>
      <c r="F85" s="190">
        <f t="shared" si="20"/>
        <v>0.86175080578999996</v>
      </c>
      <c r="G85" s="190">
        <f t="shared" si="20"/>
        <v>0.86149644815999993</v>
      </c>
      <c r="H85" s="190">
        <f t="shared" si="20"/>
        <v>0.86083374955999992</v>
      </c>
      <c r="I85" s="190">
        <f t="shared" si="20"/>
        <v>0.86103475031999999</v>
      </c>
      <c r="J85" s="190">
        <f t="shared" si="20"/>
        <v>0.86157590034999998</v>
      </c>
      <c r="K85" s="15"/>
      <c r="L85" s="15"/>
      <c r="M85" s="15"/>
    </row>
    <row r="86" spans="1:13" ht="13.8" outlineLevel="4" x14ac:dyDescent="0.3">
      <c r="A86" s="189" t="s">
        <v>83</v>
      </c>
      <c r="B86" s="190">
        <v>0.82499999999999996</v>
      </c>
      <c r="C86" s="190">
        <v>0.82499999999999996</v>
      </c>
      <c r="D86" s="190">
        <v>0.82499999999999996</v>
      </c>
      <c r="E86" s="190">
        <v>0.82499999999999996</v>
      </c>
      <c r="F86" s="190">
        <v>0.82499999999999996</v>
      </c>
      <c r="G86" s="190">
        <v>0.82499999999999996</v>
      </c>
      <c r="H86" s="190">
        <v>0.82499999999999996</v>
      </c>
      <c r="I86" s="190">
        <v>0.82499999999999996</v>
      </c>
      <c r="J86" s="190">
        <v>0.82499999999999996</v>
      </c>
      <c r="K86" s="15"/>
      <c r="L86" s="15"/>
      <c r="M86" s="15"/>
    </row>
    <row r="87" spans="1:13" ht="13.8" outlineLevel="4" x14ac:dyDescent="0.3">
      <c r="A87" s="189" t="s">
        <v>39</v>
      </c>
      <c r="B87" s="190">
        <v>3.6942408199999999E-2</v>
      </c>
      <c r="C87" s="190">
        <v>3.7561187230000001E-2</v>
      </c>
      <c r="D87" s="190">
        <v>3.7090016740000002E-2</v>
      </c>
      <c r="E87" s="190">
        <v>3.608186478E-2</v>
      </c>
      <c r="F87" s="190">
        <v>3.675080579E-2</v>
      </c>
      <c r="G87" s="190">
        <v>3.649644816E-2</v>
      </c>
      <c r="H87" s="190">
        <v>3.5833749560000003E-2</v>
      </c>
      <c r="I87" s="190">
        <v>3.6034750320000003E-2</v>
      </c>
      <c r="J87" s="190">
        <v>3.6575900350000003E-2</v>
      </c>
      <c r="K87" s="15"/>
      <c r="L87" s="15"/>
      <c r="M87" s="15"/>
    </row>
    <row r="88" spans="1:13" ht="13.8" outlineLevel="3" x14ac:dyDescent="0.3">
      <c r="A88" s="191" t="s">
        <v>47</v>
      </c>
      <c r="B88" s="190">
        <f t="shared" ref="B88:J88" si="21">SUM(B$89:B$89)</f>
        <v>0.16749230805000001</v>
      </c>
      <c r="C88" s="190">
        <f t="shared" si="21"/>
        <v>0.16381230804999999</v>
      </c>
      <c r="D88" s="190">
        <f t="shared" si="21"/>
        <v>0.16381230804999999</v>
      </c>
      <c r="E88" s="190">
        <f t="shared" si="21"/>
        <v>0.16381230804999999</v>
      </c>
      <c r="F88" s="190">
        <f t="shared" si="21"/>
        <v>0.16381230804999999</v>
      </c>
      <c r="G88" s="190">
        <f t="shared" si="21"/>
        <v>0.16013230805000001</v>
      </c>
      <c r="H88" s="190">
        <f t="shared" si="21"/>
        <v>0.16013230805000001</v>
      </c>
      <c r="I88" s="190">
        <f t="shared" si="21"/>
        <v>0.15645230804999999</v>
      </c>
      <c r="J88" s="190">
        <f t="shared" si="21"/>
        <v>0.15645230804999999</v>
      </c>
      <c r="K88" s="15"/>
      <c r="L88" s="15"/>
      <c r="M88" s="15"/>
    </row>
    <row r="89" spans="1:13" ht="13.8" outlineLevel="4" x14ac:dyDescent="0.3">
      <c r="A89" s="189" t="s">
        <v>84</v>
      </c>
      <c r="B89" s="190">
        <v>0.16749230805000001</v>
      </c>
      <c r="C89" s="190">
        <v>0.16381230804999999</v>
      </c>
      <c r="D89" s="190">
        <v>0.16381230804999999</v>
      </c>
      <c r="E89" s="190">
        <v>0.16381230804999999</v>
      </c>
      <c r="F89" s="190">
        <v>0.16381230804999999</v>
      </c>
      <c r="G89" s="190">
        <v>0.16013230805000001</v>
      </c>
      <c r="H89" s="190">
        <v>0.16013230805000001</v>
      </c>
      <c r="I89" s="190">
        <v>0.15645230804999999</v>
      </c>
      <c r="J89" s="190">
        <v>0.15645230804999999</v>
      </c>
      <c r="K89" s="15"/>
      <c r="L89" s="15"/>
      <c r="M89" s="15"/>
    </row>
    <row r="90" spans="1:13" ht="13.8" outlineLevel="3" x14ac:dyDescent="0.3">
      <c r="A90" s="191" t="s">
        <v>85</v>
      </c>
      <c r="B90" s="190">
        <f t="shared" ref="B90:J90" si="22">SUM(B$91:B$91)</f>
        <v>0.82499999999999996</v>
      </c>
      <c r="C90" s="190">
        <f t="shared" si="22"/>
        <v>0.82499999999999996</v>
      </c>
      <c r="D90" s="190">
        <f t="shared" si="22"/>
        <v>0.82499999999999996</v>
      </c>
      <c r="E90" s="190">
        <f t="shared" si="22"/>
        <v>0.82499999999999996</v>
      </c>
      <c r="F90" s="190">
        <f t="shared" si="22"/>
        <v>0.82499999999999996</v>
      </c>
      <c r="G90" s="190">
        <f t="shared" si="22"/>
        <v>0.82499999999999996</v>
      </c>
      <c r="H90" s="190">
        <f t="shared" si="22"/>
        <v>0.82499999999999996</v>
      </c>
      <c r="I90" s="190">
        <f t="shared" si="22"/>
        <v>0.82499999999999996</v>
      </c>
      <c r="J90" s="190">
        <f t="shared" si="22"/>
        <v>0.82499999999999996</v>
      </c>
      <c r="K90" s="15"/>
      <c r="L90" s="15"/>
      <c r="M90" s="15"/>
    </row>
    <row r="91" spans="1:13" ht="13.8" outlineLevel="4" x14ac:dyDescent="0.3">
      <c r="A91" s="189" t="s">
        <v>87</v>
      </c>
      <c r="B91" s="190">
        <v>0.82499999999999996</v>
      </c>
      <c r="C91" s="190">
        <v>0.82499999999999996</v>
      </c>
      <c r="D91" s="190">
        <v>0.82499999999999996</v>
      </c>
      <c r="E91" s="190">
        <v>0.82499999999999996</v>
      </c>
      <c r="F91" s="190">
        <v>0.82499999999999996</v>
      </c>
      <c r="G91" s="190">
        <v>0.82499999999999996</v>
      </c>
      <c r="H91" s="190">
        <v>0.82499999999999996</v>
      </c>
      <c r="I91" s="190">
        <v>0.82499999999999996</v>
      </c>
      <c r="J91" s="190">
        <v>0.82499999999999996</v>
      </c>
      <c r="K91" s="15"/>
      <c r="L91" s="15"/>
      <c r="M91" s="15"/>
    </row>
    <row r="92" spans="1:13" ht="13.8" outlineLevel="3" x14ac:dyDescent="0.3">
      <c r="A92" s="191" t="s">
        <v>65</v>
      </c>
      <c r="B92" s="190">
        <f t="shared" ref="B92:J92" si="23">SUM(B$93:B$93)</f>
        <v>0.11153697434</v>
      </c>
      <c r="C92" s="190">
        <f t="shared" si="23"/>
        <v>0.11254421163</v>
      </c>
      <c r="D92" s="190">
        <f t="shared" si="23"/>
        <v>0.11196555184</v>
      </c>
      <c r="E92" s="190">
        <f t="shared" si="23"/>
        <v>0.11046903538</v>
      </c>
      <c r="F92" s="190">
        <f t="shared" si="23"/>
        <v>0.11174173082</v>
      </c>
      <c r="G92" s="190">
        <f t="shared" si="23"/>
        <v>0.11147590919</v>
      </c>
      <c r="H92" s="190">
        <f t="shared" si="23"/>
        <v>0.1104456665</v>
      </c>
      <c r="I92" s="190">
        <f t="shared" si="23"/>
        <v>0.11106257379999999</v>
      </c>
      <c r="J92" s="190">
        <f t="shared" si="23"/>
        <v>0.11148597960999999</v>
      </c>
      <c r="K92" s="15"/>
      <c r="L92" s="15"/>
      <c r="M92" s="15"/>
    </row>
    <row r="93" spans="1:13" ht="13.8" outlineLevel="4" x14ac:dyDescent="0.3">
      <c r="A93" s="189" t="s">
        <v>32</v>
      </c>
      <c r="B93" s="190">
        <v>0.11153697434</v>
      </c>
      <c r="C93" s="190">
        <v>0.11254421163</v>
      </c>
      <c r="D93" s="190">
        <v>0.11196555184</v>
      </c>
      <c r="E93" s="190">
        <v>0.11046903538</v>
      </c>
      <c r="F93" s="190">
        <v>0.11174173082</v>
      </c>
      <c r="G93" s="190">
        <v>0.11147590919</v>
      </c>
      <c r="H93" s="190">
        <v>0.1104456665</v>
      </c>
      <c r="I93" s="190">
        <v>0.11106257379999999</v>
      </c>
      <c r="J93" s="190">
        <v>0.11148597960999999</v>
      </c>
      <c r="K93" s="15"/>
      <c r="L93" s="15"/>
      <c r="M93" s="15"/>
    </row>
    <row r="94" spans="1:13" x14ac:dyDescent="0.2">
      <c r="B94" s="14"/>
      <c r="C94" s="14"/>
      <c r="D94" s="14"/>
      <c r="E94" s="14"/>
      <c r="F94" s="14"/>
      <c r="G94" s="14"/>
      <c r="H94" s="14"/>
      <c r="I94" s="14"/>
      <c r="J94" s="14"/>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row r="146" spans="2:13" x14ac:dyDescent="0.2">
      <c r="B146" s="14"/>
      <c r="C146" s="14"/>
      <c r="D146" s="14"/>
      <c r="E146" s="14"/>
      <c r="F146" s="14"/>
      <c r="G146" s="14"/>
      <c r="H146" s="14"/>
      <c r="I146" s="14"/>
      <c r="J146" s="14"/>
      <c r="K146" s="15"/>
      <c r="L146" s="15"/>
      <c r="M146" s="15"/>
    </row>
    <row r="147" spans="2:13" x14ac:dyDescent="0.2">
      <c r="B147" s="14"/>
      <c r="C147" s="14"/>
      <c r="D147" s="14"/>
      <c r="E147" s="14"/>
      <c r="F147" s="14"/>
      <c r="G147" s="14"/>
      <c r="H147" s="14"/>
      <c r="I147" s="14"/>
      <c r="J147" s="14"/>
      <c r="K147" s="15"/>
      <c r="L147" s="15"/>
      <c r="M147" s="15"/>
    </row>
    <row r="148" spans="2:13" x14ac:dyDescent="0.2">
      <c r="B148" s="14"/>
      <c r="C148" s="14"/>
      <c r="D148" s="14"/>
      <c r="E148" s="14"/>
      <c r="F148" s="14"/>
      <c r="G148" s="14"/>
      <c r="H148" s="14"/>
      <c r="I148" s="14"/>
      <c r="J148" s="14"/>
      <c r="K148" s="15"/>
      <c r="L148" s="15"/>
      <c r="M148" s="15"/>
    </row>
    <row r="149" spans="2:13" x14ac:dyDescent="0.2">
      <c r="B149" s="14"/>
      <c r="C149" s="14"/>
      <c r="D149" s="14"/>
      <c r="E149" s="14"/>
      <c r="F149" s="14"/>
      <c r="G149" s="14"/>
      <c r="H149" s="14"/>
      <c r="I149" s="14"/>
      <c r="J149" s="14"/>
      <c r="K149" s="15"/>
      <c r="L149" s="15"/>
      <c r="M149" s="15"/>
    </row>
    <row r="150" spans="2:13" x14ac:dyDescent="0.2">
      <c r="B150" s="14"/>
      <c r="C150" s="14"/>
      <c r="D150" s="14"/>
      <c r="E150" s="14"/>
      <c r="F150" s="14"/>
      <c r="G150" s="14"/>
      <c r="H150" s="14"/>
      <c r="I150" s="14"/>
      <c r="J150" s="14"/>
      <c r="K150" s="15"/>
      <c r="L150" s="15"/>
      <c r="M150" s="15"/>
    </row>
    <row r="151" spans="2:13" x14ac:dyDescent="0.2">
      <c r="B151" s="14"/>
      <c r="C151" s="14"/>
      <c r="D151" s="14"/>
      <c r="E151" s="14"/>
      <c r="F151" s="14"/>
      <c r="G151" s="14"/>
      <c r="H151" s="14"/>
      <c r="I151" s="14"/>
      <c r="J151" s="14"/>
      <c r="K151" s="15"/>
      <c r="L151" s="15"/>
      <c r="M151" s="15"/>
    </row>
    <row r="152" spans="2:13" x14ac:dyDescent="0.2">
      <c r="B152" s="14"/>
      <c r="C152" s="14"/>
      <c r="D152" s="14"/>
      <c r="E152" s="14"/>
      <c r="F152" s="14"/>
      <c r="G152" s="14"/>
      <c r="H152" s="14"/>
      <c r="I152" s="14"/>
      <c r="J152" s="14"/>
      <c r="K152" s="15"/>
      <c r="L152" s="15"/>
      <c r="M152" s="15"/>
    </row>
    <row r="153" spans="2:13" x14ac:dyDescent="0.2">
      <c r="B153" s="14"/>
      <c r="C153" s="14"/>
      <c r="D153" s="14"/>
      <c r="E153" s="14"/>
      <c r="F153" s="14"/>
      <c r="G153" s="14"/>
      <c r="H153" s="14"/>
      <c r="I153" s="14"/>
      <c r="J153" s="14"/>
      <c r="K153" s="15"/>
      <c r="L153" s="15"/>
      <c r="M153" s="15"/>
    </row>
    <row r="154" spans="2:13" x14ac:dyDescent="0.2">
      <c r="B154" s="14"/>
      <c r="C154" s="14"/>
      <c r="D154" s="14"/>
      <c r="E154" s="14"/>
      <c r="F154" s="14"/>
      <c r="G154" s="14"/>
      <c r="H154" s="14"/>
      <c r="I154" s="14"/>
      <c r="J154" s="14"/>
      <c r="K154" s="15"/>
      <c r="L154" s="15"/>
      <c r="M154" s="15"/>
    </row>
    <row r="155" spans="2:13" x14ac:dyDescent="0.2">
      <c r="B155" s="14"/>
      <c r="C155" s="14"/>
      <c r="D155" s="14"/>
      <c r="E155" s="14"/>
      <c r="F155" s="14"/>
      <c r="G155" s="14"/>
      <c r="H155" s="14"/>
      <c r="I155" s="14"/>
      <c r="J155" s="14"/>
      <c r="K155" s="15"/>
      <c r="L155" s="15"/>
      <c r="M155" s="15"/>
    </row>
    <row r="156" spans="2:13" x14ac:dyDescent="0.2">
      <c r="B156" s="14"/>
      <c r="C156" s="14"/>
      <c r="D156" s="14"/>
      <c r="E156" s="14"/>
      <c r="F156" s="14"/>
      <c r="G156" s="14"/>
      <c r="H156" s="14"/>
      <c r="I156" s="14"/>
      <c r="J156" s="14"/>
      <c r="K156" s="15"/>
      <c r="L156" s="15"/>
      <c r="M156" s="15"/>
    </row>
    <row r="157" spans="2:13" x14ac:dyDescent="0.2">
      <c r="B157" s="14"/>
      <c r="C157" s="14"/>
      <c r="D157" s="14"/>
      <c r="E157" s="14"/>
      <c r="F157" s="14"/>
      <c r="G157" s="14"/>
      <c r="H157" s="14"/>
      <c r="I157" s="14"/>
      <c r="J157" s="14"/>
      <c r="K157" s="15"/>
      <c r="L157" s="15"/>
      <c r="M157" s="15"/>
    </row>
    <row r="158" spans="2:13" x14ac:dyDescent="0.2">
      <c r="B158" s="14"/>
      <c r="C158" s="14"/>
      <c r="D158" s="14"/>
      <c r="E158" s="14"/>
      <c r="F158" s="14"/>
      <c r="G158" s="14"/>
      <c r="H158" s="14"/>
      <c r="I158" s="14"/>
      <c r="J158" s="14"/>
      <c r="K158" s="15"/>
      <c r="L158" s="15"/>
      <c r="M158" s="15"/>
    </row>
    <row r="159" spans="2:13" x14ac:dyDescent="0.2">
      <c r="B159" s="14"/>
      <c r="C159" s="14"/>
      <c r="D159" s="14"/>
      <c r="E159" s="14"/>
      <c r="F159" s="14"/>
      <c r="G159" s="14"/>
      <c r="H159" s="14"/>
      <c r="I159" s="14"/>
      <c r="J159" s="14"/>
      <c r="K159" s="15"/>
      <c r="L159" s="15"/>
      <c r="M159" s="15"/>
    </row>
    <row r="160" spans="2:13" x14ac:dyDescent="0.2">
      <c r="B160" s="14"/>
      <c r="C160" s="14"/>
      <c r="D160" s="14"/>
      <c r="E160" s="14"/>
      <c r="F160" s="14"/>
      <c r="G160" s="14"/>
      <c r="H160" s="14"/>
      <c r="I160" s="14"/>
      <c r="J160" s="14"/>
      <c r="K160" s="15"/>
      <c r="L160" s="15"/>
      <c r="M160" s="15"/>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18">
    <tabColor indexed="57"/>
    <outlinePr applyStyles="1" summaryBelow="0"/>
    <pageSetUpPr fitToPage="1"/>
  </sheetPr>
  <dimension ref="A1:O151"/>
  <sheetViews>
    <sheetView tabSelected="1" zoomScale="90" zoomScaleNormal="90" workbookViewId="0">
      <selection activeCell="C107" sqref="C107"/>
    </sheetView>
  </sheetViews>
  <sheetFormatPr defaultColWidth="9.109375" defaultRowHeight="10.199999999999999" outlineLevelRow="4" x14ac:dyDescent="0.2"/>
  <cols>
    <col min="1" max="1" width="52" style="12" customWidth="1"/>
    <col min="2" max="10" width="16.33203125" style="13" customWidth="1"/>
    <col min="11" max="11" width="9.109375" style="12" customWidth="1"/>
    <col min="12" max="16384" width="9.109375" style="12"/>
  </cols>
  <sheetData>
    <row r="1" spans="1:15" s="26" customFormat="1" ht="18" x14ac:dyDescent="0.3">
      <c r="A1" s="5"/>
      <c r="B1" s="5"/>
      <c r="C1" s="5"/>
      <c r="D1" s="5"/>
      <c r="E1" s="5"/>
      <c r="F1" s="5"/>
      <c r="G1" s="5"/>
      <c r="H1" s="5"/>
      <c r="I1" s="5"/>
      <c r="J1" s="5"/>
    </row>
    <row r="2" spans="1:15" s="26" customFormat="1" ht="18" x14ac:dyDescent="0.3">
      <c r="A2" s="5" t="str">
        <f>IF(REPORT_LANG="UKR","Державний та гарантований державою борг України за поточний рік","State debt and State guaranteed debt of  Ukraine for the current year")</f>
        <v>Державний та гарантований державою борг України за поточний рік</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VALUAH</f>
        <v>млрд. грн</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6" s="25">
        <f t="shared" ref="B6:J6" si="0">B$7+B$62</f>
        <v>9042.6770279453904</v>
      </c>
      <c r="C6" s="25">
        <f t="shared" si="0"/>
        <v>9212.5998245738901</v>
      </c>
      <c r="D6" s="25">
        <f t="shared" si="0"/>
        <v>9211.1933697349305</v>
      </c>
      <c r="E6" s="25">
        <f t="shared" si="0"/>
        <v>9233.02786687765</v>
      </c>
      <c r="F6" s="25">
        <f t="shared" si="0"/>
        <v>9345.510469896959</v>
      </c>
      <c r="G6" s="25">
        <f t="shared" si="0"/>
        <v>9316.8730357135209</v>
      </c>
      <c r="H6" s="25">
        <f t="shared" si="0"/>
        <v>9490.8752701868289</v>
      </c>
      <c r="I6" s="25">
        <f t="shared" si="0"/>
        <v>9572.4497813650287</v>
      </c>
      <c r="J6" s="25">
        <f t="shared" si="0"/>
        <v>9602.8930637009707</v>
      </c>
    </row>
    <row r="7" spans="1:15" s="140" customFormat="1" ht="14.4" outlineLevel="1" x14ac:dyDescent="0.25">
      <c r="A7" s="182" t="s">
        <v>1</v>
      </c>
      <c r="B7" s="183">
        <f t="shared" ref="B7:J7" si="1">B$8+B$23</f>
        <v>8765.9940256002701</v>
      </c>
      <c r="C7" s="183">
        <f t="shared" si="1"/>
        <v>8933.75862935849</v>
      </c>
      <c r="D7" s="183">
        <f t="shared" si="1"/>
        <v>8940.6425883804604</v>
      </c>
      <c r="E7" s="183">
        <f t="shared" si="1"/>
        <v>8973.06636181258</v>
      </c>
      <c r="F7" s="183">
        <f t="shared" si="1"/>
        <v>9086.1497696725692</v>
      </c>
      <c r="G7" s="183">
        <f t="shared" si="1"/>
        <v>9055.8212127435108</v>
      </c>
      <c r="H7" s="183">
        <f t="shared" si="1"/>
        <v>9228.7924833453981</v>
      </c>
      <c r="I7" s="183">
        <f t="shared" si="1"/>
        <v>9311.4910199911392</v>
      </c>
      <c r="J7" s="183">
        <f t="shared" si="1"/>
        <v>9345.0806751427208</v>
      </c>
    </row>
    <row r="8" spans="1:15" s="21" customFormat="1" ht="14.4" outlineLevel="2" x14ac:dyDescent="0.25">
      <c r="A8" s="184" t="s">
        <v>3</v>
      </c>
      <c r="B8" s="185">
        <f t="shared" ref="B8:J8" si="2">B$9+B$21</f>
        <v>1967.2075927833</v>
      </c>
      <c r="C8" s="185">
        <f t="shared" si="2"/>
        <v>1992.6491649658003</v>
      </c>
      <c r="D8" s="185">
        <f t="shared" si="2"/>
        <v>2009.6169171505999</v>
      </c>
      <c r="E8" s="185">
        <f t="shared" si="2"/>
        <v>2013.8889646902801</v>
      </c>
      <c r="F8" s="185">
        <f t="shared" si="2"/>
        <v>2003.7288462791801</v>
      </c>
      <c r="G8" s="185">
        <f t="shared" si="2"/>
        <v>1988.8951878696798</v>
      </c>
      <c r="H8" s="185">
        <f t="shared" si="2"/>
        <v>1979.5199218805601</v>
      </c>
      <c r="I8" s="185">
        <f t="shared" si="2"/>
        <v>2011.1022027765603</v>
      </c>
      <c r="J8" s="185">
        <f t="shared" si="2"/>
        <v>2003.3651225245599</v>
      </c>
    </row>
    <row r="9" spans="1:15" s="22" customFormat="1" ht="13.8" outlineLevel="3" x14ac:dyDescent="0.25">
      <c r="A9" s="186" t="s">
        <v>4</v>
      </c>
      <c r="B9" s="187">
        <f t="shared" ref="B9:J9" si="3">SUM(B$10:B$20)</f>
        <v>1965.8850675579999</v>
      </c>
      <c r="C9" s="187">
        <f t="shared" si="3"/>
        <v>1991.3266397405002</v>
      </c>
      <c r="D9" s="187">
        <f t="shared" si="3"/>
        <v>2008.2943919252998</v>
      </c>
      <c r="E9" s="187">
        <f t="shared" si="3"/>
        <v>2012.5995025956001</v>
      </c>
      <c r="F9" s="187">
        <f t="shared" si="3"/>
        <v>2002.4393841845001</v>
      </c>
      <c r="G9" s="187">
        <f t="shared" si="3"/>
        <v>1987.6057257749999</v>
      </c>
      <c r="H9" s="187">
        <f t="shared" si="3"/>
        <v>1978.2635229165001</v>
      </c>
      <c r="I9" s="187">
        <f t="shared" si="3"/>
        <v>2009.8458038125002</v>
      </c>
      <c r="J9" s="187">
        <f t="shared" si="3"/>
        <v>2002.1087235604998</v>
      </c>
    </row>
    <row r="10" spans="1:15" s="24" customFormat="1" ht="13.8" outlineLevel="4" x14ac:dyDescent="0.25">
      <c r="A10" s="188" t="s">
        <v>7</v>
      </c>
      <c r="B10" s="180">
        <v>4.25</v>
      </c>
      <c r="C10" s="180">
        <v>4.25</v>
      </c>
      <c r="D10" s="180">
        <v>4.25</v>
      </c>
      <c r="E10" s="180">
        <v>4.25</v>
      </c>
      <c r="F10" s="180">
        <v>4.25</v>
      </c>
      <c r="G10" s="180">
        <v>4.25</v>
      </c>
      <c r="H10" s="180">
        <v>4.25</v>
      </c>
      <c r="I10" s="180">
        <v>4.25</v>
      </c>
      <c r="J10" s="180">
        <v>4.25</v>
      </c>
    </row>
    <row r="11" spans="1:15" ht="13.8" outlineLevel="4" x14ac:dyDescent="0.3">
      <c r="A11" s="189" t="s">
        <v>8</v>
      </c>
      <c r="B11" s="190">
        <v>23.9</v>
      </c>
      <c r="C11" s="190">
        <v>23.9</v>
      </c>
      <c r="D11" s="190">
        <v>23.9</v>
      </c>
      <c r="E11" s="190">
        <v>21.4</v>
      </c>
      <c r="F11" s="190">
        <v>18.899999999999999</v>
      </c>
      <c r="G11" s="190">
        <v>17.2</v>
      </c>
      <c r="H11" s="190">
        <v>15.2</v>
      </c>
      <c r="I11" s="190">
        <v>15.2</v>
      </c>
      <c r="J11" s="190">
        <v>15.2</v>
      </c>
      <c r="K11" s="15"/>
      <c r="L11" s="15"/>
      <c r="M11" s="15"/>
    </row>
    <row r="12" spans="1:15" ht="13.8" outlineLevel="4" x14ac:dyDescent="0.3">
      <c r="A12" s="189" t="s">
        <v>9</v>
      </c>
      <c r="B12" s="190">
        <v>110.259998</v>
      </c>
      <c r="C12" s="190">
        <v>106.94099799999999</v>
      </c>
      <c r="D12" s="190">
        <v>106.94099799999999</v>
      </c>
      <c r="E12" s="190">
        <v>106.94099799999999</v>
      </c>
      <c r="F12" s="190">
        <v>106.94099799999999</v>
      </c>
      <c r="G12" s="190">
        <v>106.94099799999999</v>
      </c>
      <c r="H12" s="190">
        <v>106.94099799999999</v>
      </c>
      <c r="I12" s="190">
        <v>106.94099799999999</v>
      </c>
      <c r="J12" s="190">
        <v>106.94099799999999</v>
      </c>
      <c r="K12" s="15"/>
      <c r="L12" s="15"/>
      <c r="M12" s="15"/>
    </row>
    <row r="13" spans="1:15" ht="13.8" outlineLevel="4" x14ac:dyDescent="0.3">
      <c r="A13" s="189" t="s">
        <v>10</v>
      </c>
      <c r="B13" s="190">
        <v>285.266908</v>
      </c>
      <c r="C13" s="190">
        <v>285.266908</v>
      </c>
      <c r="D13" s="190">
        <v>285.266908</v>
      </c>
      <c r="E13" s="190">
        <v>285.266908</v>
      </c>
      <c r="F13" s="190">
        <v>285.266908</v>
      </c>
      <c r="G13" s="190">
        <v>285.266908</v>
      </c>
      <c r="H13" s="190">
        <v>285.266908</v>
      </c>
      <c r="I13" s="190">
        <v>285.266908</v>
      </c>
      <c r="J13" s="190">
        <v>285.266908</v>
      </c>
      <c r="K13" s="15"/>
      <c r="L13" s="15"/>
      <c r="M13" s="15"/>
    </row>
    <row r="14" spans="1:15" ht="13.8" outlineLevel="4" x14ac:dyDescent="0.3">
      <c r="A14" s="189" t="s">
        <v>13</v>
      </c>
      <c r="B14" s="190">
        <v>10.714916000000001</v>
      </c>
      <c r="C14" s="190">
        <v>10.714916000000001</v>
      </c>
      <c r="D14" s="190">
        <v>10.714916000000001</v>
      </c>
      <c r="E14" s="190">
        <v>10.714916000000001</v>
      </c>
      <c r="F14" s="190">
        <v>10.714916000000001</v>
      </c>
      <c r="G14" s="190">
        <v>10.714916000000001</v>
      </c>
      <c r="H14" s="190">
        <v>10.714916000000001</v>
      </c>
      <c r="I14" s="190">
        <v>10.714916000000001</v>
      </c>
      <c r="J14" s="190">
        <v>10.714916000000001</v>
      </c>
      <c r="K14" s="15"/>
      <c r="L14" s="15"/>
      <c r="M14" s="15"/>
    </row>
    <row r="15" spans="1:15" ht="13.8" outlineLevel="4" x14ac:dyDescent="0.3">
      <c r="A15" s="189" t="s">
        <v>14</v>
      </c>
      <c r="B15" s="190">
        <v>39.165810999999998</v>
      </c>
      <c r="C15" s="190">
        <v>39.165810999999998</v>
      </c>
      <c r="D15" s="190">
        <v>39.165810999999998</v>
      </c>
      <c r="E15" s="190">
        <v>39.165810999999998</v>
      </c>
      <c r="F15" s="190">
        <v>39.165810999999998</v>
      </c>
      <c r="G15" s="190">
        <v>28.217123000000001</v>
      </c>
      <c r="H15" s="190">
        <v>28.217123000000001</v>
      </c>
      <c r="I15" s="190">
        <v>28.217123000000001</v>
      </c>
      <c r="J15" s="190">
        <v>28.217123000000001</v>
      </c>
      <c r="K15" s="15"/>
      <c r="L15" s="15"/>
      <c r="M15" s="15"/>
    </row>
    <row r="16" spans="1:15" ht="13.8" outlineLevel="4" x14ac:dyDescent="0.3">
      <c r="A16" s="189" t="s">
        <v>15</v>
      </c>
      <c r="B16" s="190">
        <v>430.13350000000003</v>
      </c>
      <c r="C16" s="190">
        <v>430.13350000000003</v>
      </c>
      <c r="D16" s="190">
        <v>430.13350000000003</v>
      </c>
      <c r="E16" s="190">
        <v>430.13350000000003</v>
      </c>
      <c r="F16" s="190">
        <v>430.13350000000003</v>
      </c>
      <c r="G16" s="190">
        <v>430.01295199999998</v>
      </c>
      <c r="H16" s="190">
        <v>430.01295199999998</v>
      </c>
      <c r="I16" s="190">
        <v>430.01295199999998</v>
      </c>
      <c r="J16" s="190">
        <v>430.01295199999998</v>
      </c>
      <c r="K16" s="15"/>
      <c r="L16" s="15"/>
      <c r="M16" s="15"/>
    </row>
    <row r="17" spans="1:13" ht="13.8" outlineLevel="4" x14ac:dyDescent="0.3">
      <c r="A17" s="189" t="s">
        <v>16</v>
      </c>
      <c r="B17" s="190">
        <v>95.211151999999998</v>
      </c>
      <c r="C17" s="190">
        <v>78.782505</v>
      </c>
      <c r="D17" s="190">
        <v>75.261842000000001</v>
      </c>
      <c r="E17" s="190">
        <v>75.261842000000001</v>
      </c>
      <c r="F17" s="190">
        <v>75.261842000000001</v>
      </c>
      <c r="G17" s="190">
        <v>75.261842000000001</v>
      </c>
      <c r="H17" s="190">
        <v>59.482035000000003</v>
      </c>
      <c r="I17" s="190">
        <v>55.274583999999997</v>
      </c>
      <c r="J17" s="190">
        <v>41.383262999999999</v>
      </c>
      <c r="K17" s="15"/>
      <c r="L17" s="15"/>
      <c r="M17" s="15"/>
    </row>
    <row r="18" spans="1:13" ht="13.8" outlineLevel="4" x14ac:dyDescent="0.3">
      <c r="A18" s="189" t="s">
        <v>17</v>
      </c>
      <c r="B18" s="190">
        <v>381.66207600000001</v>
      </c>
      <c r="C18" s="190">
        <v>363.20119399999999</v>
      </c>
      <c r="D18" s="190">
        <v>338.671311</v>
      </c>
      <c r="E18" s="190">
        <v>319.65551099999999</v>
      </c>
      <c r="F18" s="190">
        <v>303.37284299999999</v>
      </c>
      <c r="G18" s="190">
        <v>285.01631600000002</v>
      </c>
      <c r="H18" s="190">
        <v>274.30578000000003</v>
      </c>
      <c r="I18" s="190">
        <v>260.152309</v>
      </c>
      <c r="J18" s="190">
        <v>254.21695</v>
      </c>
      <c r="K18" s="15"/>
      <c r="L18" s="15"/>
      <c r="M18" s="15"/>
    </row>
    <row r="19" spans="1:13" ht="13.8" outlineLevel="4" x14ac:dyDescent="0.3">
      <c r="A19" s="189" t="s">
        <v>18</v>
      </c>
      <c r="B19" s="190">
        <v>585.32070655799998</v>
      </c>
      <c r="C19" s="190">
        <v>587.50755574050004</v>
      </c>
      <c r="D19" s="190">
        <v>568.24116659849994</v>
      </c>
      <c r="E19" s="190">
        <v>568.84807823250003</v>
      </c>
      <c r="F19" s="190">
        <v>551.83721562539995</v>
      </c>
      <c r="G19" s="190">
        <v>552.07763778389995</v>
      </c>
      <c r="H19" s="190">
        <v>533.01228351719999</v>
      </c>
      <c r="I19" s="190">
        <v>513.88242593660004</v>
      </c>
      <c r="J19" s="190">
        <v>492.98721780170001</v>
      </c>
      <c r="K19" s="15"/>
      <c r="L19" s="15"/>
      <c r="M19" s="15"/>
    </row>
    <row r="20" spans="1:13" ht="13.8" outlineLevel="4" x14ac:dyDescent="0.3">
      <c r="A20" s="189" t="s">
        <v>19</v>
      </c>
      <c r="B20" s="190">
        <v>0</v>
      </c>
      <c r="C20" s="190">
        <v>61.463251999999997</v>
      </c>
      <c r="D20" s="190">
        <v>125.74793932679999</v>
      </c>
      <c r="E20" s="190">
        <v>150.96193836309999</v>
      </c>
      <c r="F20" s="190">
        <v>176.59535055910001</v>
      </c>
      <c r="G20" s="190">
        <v>192.64703299109999</v>
      </c>
      <c r="H20" s="190">
        <v>230.8605273993</v>
      </c>
      <c r="I20" s="190">
        <v>299.9335878759</v>
      </c>
      <c r="J20" s="190">
        <v>332.91839575879999</v>
      </c>
      <c r="K20" s="15"/>
      <c r="L20" s="15"/>
      <c r="M20" s="15"/>
    </row>
    <row r="21" spans="1:13" ht="13.8" outlineLevel="3" x14ac:dyDescent="0.3">
      <c r="A21" s="191" t="s">
        <v>20</v>
      </c>
      <c r="B21" s="190">
        <f t="shared" ref="B21:J21" si="4">SUM(B$22:B$22)</f>
        <v>1.3225252252999999</v>
      </c>
      <c r="C21" s="190">
        <f t="shared" si="4"/>
        <v>1.3225252252999999</v>
      </c>
      <c r="D21" s="190">
        <f t="shared" si="4"/>
        <v>1.3225252252999999</v>
      </c>
      <c r="E21" s="190">
        <f t="shared" si="4"/>
        <v>1.2894620946799999</v>
      </c>
      <c r="F21" s="190">
        <f t="shared" si="4"/>
        <v>1.2894620946799999</v>
      </c>
      <c r="G21" s="190">
        <f t="shared" si="4"/>
        <v>1.2894620946799999</v>
      </c>
      <c r="H21" s="190">
        <f t="shared" si="4"/>
        <v>1.25639896406</v>
      </c>
      <c r="I21" s="190">
        <f t="shared" si="4"/>
        <v>1.25639896406</v>
      </c>
      <c r="J21" s="190">
        <f t="shared" si="4"/>
        <v>1.25639896406</v>
      </c>
      <c r="K21" s="15"/>
      <c r="L21" s="15"/>
      <c r="M21" s="15"/>
    </row>
    <row r="22" spans="1:13" ht="13.8" outlineLevel="4" x14ac:dyDescent="0.3">
      <c r="A22" s="189" t="s">
        <v>21</v>
      </c>
      <c r="B22" s="190">
        <v>1.3225252252999999</v>
      </c>
      <c r="C22" s="190">
        <v>1.3225252252999999</v>
      </c>
      <c r="D22" s="190">
        <v>1.3225252252999999</v>
      </c>
      <c r="E22" s="190">
        <v>1.2894620946799999</v>
      </c>
      <c r="F22" s="190">
        <v>1.2894620946799999</v>
      </c>
      <c r="G22" s="190">
        <v>1.2894620946799999</v>
      </c>
      <c r="H22" s="190">
        <v>1.25639896406</v>
      </c>
      <c r="I22" s="190">
        <v>1.25639896406</v>
      </c>
      <c r="J22" s="190">
        <v>1.25639896406</v>
      </c>
      <c r="K22" s="15"/>
      <c r="L22" s="15"/>
      <c r="M22" s="15"/>
    </row>
    <row r="23" spans="1:13" ht="14.4" outlineLevel="2" x14ac:dyDescent="0.3">
      <c r="A23" s="192" t="s">
        <v>22</v>
      </c>
      <c r="B23" s="193">
        <f t="shared" ref="B23:J23" si="5">B$24+B$35+B$46+B$48+B$55+B$58+B$60</f>
        <v>6798.7864328169699</v>
      </c>
      <c r="C23" s="193">
        <f t="shared" si="5"/>
        <v>6941.1094643926899</v>
      </c>
      <c r="D23" s="193">
        <f t="shared" si="5"/>
        <v>6931.0256712298606</v>
      </c>
      <c r="E23" s="193">
        <f t="shared" si="5"/>
        <v>6959.1773971222992</v>
      </c>
      <c r="F23" s="193">
        <f t="shared" si="5"/>
        <v>7082.4209233933889</v>
      </c>
      <c r="G23" s="193">
        <f t="shared" si="5"/>
        <v>7066.9260248738301</v>
      </c>
      <c r="H23" s="193">
        <f t="shared" si="5"/>
        <v>7249.2725614648389</v>
      </c>
      <c r="I23" s="193">
        <f t="shared" si="5"/>
        <v>7300.3888172145789</v>
      </c>
      <c r="J23" s="193">
        <f t="shared" si="5"/>
        <v>7341.7155526181605</v>
      </c>
      <c r="K23" s="15"/>
      <c r="L23" s="15"/>
      <c r="M23" s="15"/>
    </row>
    <row r="24" spans="1:13" ht="13.8" outlineLevel="3" x14ac:dyDescent="0.3">
      <c r="A24" s="191" t="s">
        <v>23</v>
      </c>
      <c r="B24" s="190">
        <f t="shared" ref="B24:J24" si="6">SUM(B$25:B$34)</f>
        <v>5234.2600089153393</v>
      </c>
      <c r="C24" s="190">
        <f t="shared" si="6"/>
        <v>5351.3957927535303</v>
      </c>
      <c r="D24" s="190">
        <f t="shared" si="6"/>
        <v>5335.6329492285204</v>
      </c>
      <c r="E24" s="190">
        <f t="shared" si="6"/>
        <v>5351.7872623984504</v>
      </c>
      <c r="F24" s="190">
        <f t="shared" si="6"/>
        <v>5454.1406220530089</v>
      </c>
      <c r="G24" s="190">
        <f t="shared" si="6"/>
        <v>5433.4450344487104</v>
      </c>
      <c r="H24" s="190">
        <f t="shared" si="6"/>
        <v>5606.2886483789498</v>
      </c>
      <c r="I24" s="190">
        <f t="shared" si="6"/>
        <v>5657.576058586239</v>
      </c>
      <c r="J24" s="190">
        <f t="shared" si="6"/>
        <v>5695.6404242189501</v>
      </c>
      <c r="K24" s="15"/>
      <c r="L24" s="15"/>
      <c r="M24" s="15"/>
    </row>
    <row r="25" spans="1:13" ht="13.8" outlineLevel="4" x14ac:dyDescent="0.3">
      <c r="A25" s="189" t="s">
        <v>24</v>
      </c>
      <c r="B25" s="190">
        <v>0.48614260887999999</v>
      </c>
      <c r="C25" s="190">
        <v>0.49965531889999998</v>
      </c>
      <c r="D25" s="190">
        <v>0.4975306115</v>
      </c>
      <c r="E25" s="190">
        <v>0.45992535026999998</v>
      </c>
      <c r="F25" s="190">
        <v>0.47151665784000002</v>
      </c>
      <c r="G25" s="190">
        <v>0.47020029483999998</v>
      </c>
      <c r="H25" s="190">
        <v>0.46773759905000001</v>
      </c>
      <c r="I25" s="190">
        <v>0.46872304302000001</v>
      </c>
      <c r="J25" s="190">
        <v>0.47425999490999998</v>
      </c>
      <c r="K25" s="15"/>
      <c r="L25" s="15"/>
      <c r="M25" s="15"/>
    </row>
    <row r="26" spans="1:13" ht="13.8" outlineLevel="4" x14ac:dyDescent="0.3">
      <c r="A26" s="189" t="s">
        <v>25</v>
      </c>
      <c r="B26" s="190">
        <v>22.867781216129998</v>
      </c>
      <c r="C26" s="190">
        <v>23.503408891749999</v>
      </c>
      <c r="D26" s="190">
        <v>23.40346426012</v>
      </c>
      <c r="E26" s="190">
        <v>23.07684391966</v>
      </c>
      <c r="F26" s="190">
        <v>23.65844003214</v>
      </c>
      <c r="G26" s="190">
        <v>24.878298762269999</v>
      </c>
      <c r="H26" s="190">
        <v>24.747997521969999</v>
      </c>
      <c r="I26" s="190">
        <v>24.800137364969999</v>
      </c>
      <c r="J26" s="190">
        <v>26.571688903249999</v>
      </c>
      <c r="K26" s="15"/>
      <c r="L26" s="15"/>
      <c r="M26" s="15"/>
    </row>
    <row r="27" spans="1:13" ht="13.8" outlineLevel="4" x14ac:dyDescent="0.3">
      <c r="A27" s="189" t="s">
        <v>26</v>
      </c>
      <c r="B27" s="190">
        <v>2.67230830477</v>
      </c>
      <c r="C27" s="190">
        <v>2.75950297242</v>
      </c>
      <c r="D27" s="190">
        <v>2.76113340754</v>
      </c>
      <c r="E27" s="190">
        <v>2.7598691078400002</v>
      </c>
      <c r="F27" s="190">
        <v>2.7718798694400002</v>
      </c>
      <c r="G27" s="190">
        <v>2.8042889195099998</v>
      </c>
      <c r="H27" s="190">
        <v>2.7479411266099998</v>
      </c>
      <c r="I27" s="190">
        <v>2.9262825331600002</v>
      </c>
      <c r="J27" s="190">
        <v>2.96085025038</v>
      </c>
      <c r="K27" s="15"/>
      <c r="L27" s="15"/>
      <c r="M27" s="15"/>
    </row>
    <row r="28" spans="1:13" ht="13.8" outlineLevel="4" x14ac:dyDescent="0.3">
      <c r="A28" s="189" t="s">
        <v>27</v>
      </c>
      <c r="B28" s="190">
        <v>142.48457794754</v>
      </c>
      <c r="C28" s="190">
        <v>146.44504705627</v>
      </c>
      <c r="D28" s="190">
        <v>145.23636503838</v>
      </c>
      <c r="E28" s="190">
        <v>143.09707230363</v>
      </c>
      <c r="F28" s="190">
        <v>146.57849212227001</v>
      </c>
      <c r="G28" s="190">
        <v>142.75865429702</v>
      </c>
      <c r="H28" s="190">
        <v>142.08095841282</v>
      </c>
      <c r="I28" s="190">
        <v>143.29375121832999</v>
      </c>
      <c r="J28" s="190">
        <v>144.39068086498</v>
      </c>
      <c r="K28" s="15"/>
      <c r="L28" s="15"/>
      <c r="M28" s="15"/>
    </row>
    <row r="29" spans="1:13" ht="13.8" outlineLevel="4" x14ac:dyDescent="0.3">
      <c r="A29" s="189" t="s">
        <v>28</v>
      </c>
      <c r="B29" s="190">
        <v>2601.18318191345</v>
      </c>
      <c r="C29" s="190">
        <v>2673.4850814349902</v>
      </c>
      <c r="D29" s="190">
        <v>2662.11649729172</v>
      </c>
      <c r="E29" s="190">
        <v>2624.9638182259901</v>
      </c>
      <c r="F29" s="190">
        <v>2688.5406760743899</v>
      </c>
      <c r="G29" s="190">
        <v>2681.0349062871901</v>
      </c>
      <c r="H29" s="190">
        <v>2791.96913701009</v>
      </c>
      <c r="I29" s="190">
        <v>2797.8513435336299</v>
      </c>
      <c r="J29" s="190">
        <v>2830.9019232304099</v>
      </c>
      <c r="K29" s="15"/>
      <c r="L29" s="15"/>
      <c r="M29" s="15"/>
    </row>
    <row r="30" spans="1:13" ht="13.8" outlineLevel="4" x14ac:dyDescent="0.3">
      <c r="A30" s="189" t="s">
        <v>29</v>
      </c>
      <c r="B30" s="190">
        <v>903.18520265950997</v>
      </c>
      <c r="C30" s="190">
        <v>928.28993431626998</v>
      </c>
      <c r="D30" s="190">
        <v>924.34252413586</v>
      </c>
      <c r="E30" s="190">
        <v>911.44233694234003</v>
      </c>
      <c r="F30" s="190">
        <v>934.41303959841002</v>
      </c>
      <c r="G30" s="190">
        <v>923.12658897224003</v>
      </c>
      <c r="H30" s="190">
        <v>918.29167077110003</v>
      </c>
      <c r="I30" s="190">
        <v>920.22635593101995</v>
      </c>
      <c r="J30" s="190">
        <v>931.09684573958998</v>
      </c>
      <c r="K30" s="15"/>
      <c r="L30" s="15"/>
      <c r="M30" s="15"/>
    </row>
    <row r="31" spans="1:13" ht="13.8" outlineLevel="4" x14ac:dyDescent="0.3">
      <c r="A31" s="189" t="s">
        <v>30</v>
      </c>
      <c r="B31" s="190">
        <v>283.18043197063002</v>
      </c>
      <c r="C31" s="190">
        <v>287.05993478110997</v>
      </c>
      <c r="D31" s="190">
        <v>288.85730718880001</v>
      </c>
      <c r="E31" s="190">
        <v>291.81545283548002</v>
      </c>
      <c r="F31" s="190">
        <v>294.61256897766998</v>
      </c>
      <c r="G31" s="190">
        <v>295.76188864056002</v>
      </c>
      <c r="H31" s="190">
        <v>298.75878156761001</v>
      </c>
      <c r="I31" s="190">
        <v>297.99130557912002</v>
      </c>
      <c r="J31" s="190">
        <v>293.68851629141</v>
      </c>
      <c r="K31" s="15"/>
      <c r="L31" s="15"/>
      <c r="M31" s="15"/>
    </row>
    <row r="32" spans="1:13" ht="13.8" outlineLevel="4" x14ac:dyDescent="0.3">
      <c r="A32" s="189" t="s">
        <v>31</v>
      </c>
      <c r="B32" s="190">
        <v>698.98622995717005</v>
      </c>
      <c r="C32" s="190">
        <v>706.14146045373002</v>
      </c>
      <c r="D32" s="190">
        <v>707.00848642594997</v>
      </c>
      <c r="E32" s="190">
        <v>714.41402424093997</v>
      </c>
      <c r="F32" s="190">
        <v>719.38889933150995</v>
      </c>
      <c r="G32" s="190">
        <v>721.54213643262005</v>
      </c>
      <c r="H32" s="190">
        <v>791.52520971706997</v>
      </c>
      <c r="I32" s="190">
        <v>810.13501602951999</v>
      </c>
      <c r="J32" s="190">
        <v>809.07587783455995</v>
      </c>
      <c r="K32" s="15"/>
      <c r="L32" s="15"/>
      <c r="M32" s="15"/>
    </row>
    <row r="33" spans="1:13" ht="13.8" outlineLevel="4" x14ac:dyDescent="0.3">
      <c r="A33" s="189" t="s">
        <v>32</v>
      </c>
      <c r="B33" s="190">
        <v>574.79562913317</v>
      </c>
      <c r="C33" s="190">
        <v>578.84227550457001</v>
      </c>
      <c r="D33" s="190">
        <v>576.98911118501996</v>
      </c>
      <c r="E33" s="190">
        <v>635.27729413216002</v>
      </c>
      <c r="F33" s="190">
        <v>639.19517283776997</v>
      </c>
      <c r="G33" s="190">
        <v>636.53938225406</v>
      </c>
      <c r="H33" s="190">
        <v>631.30844599589</v>
      </c>
      <c r="I33" s="190">
        <v>655.61587680196999</v>
      </c>
      <c r="J33" s="190">
        <v>652.22598714139997</v>
      </c>
      <c r="K33" s="15"/>
      <c r="L33" s="15"/>
      <c r="M33" s="15"/>
    </row>
    <row r="34" spans="1:13" ht="13.8" outlineLevel="4" x14ac:dyDescent="0.3">
      <c r="A34" s="189" t="s">
        <v>33</v>
      </c>
      <c r="B34" s="190">
        <v>4.4185232040900004</v>
      </c>
      <c r="C34" s="190">
        <v>4.3694920235200003</v>
      </c>
      <c r="D34" s="190">
        <v>4.4205296836299999</v>
      </c>
      <c r="E34" s="190">
        <v>4.4806253401399996</v>
      </c>
      <c r="F34" s="190">
        <v>4.5099365515700001</v>
      </c>
      <c r="G34" s="190">
        <v>4.5286895883999998</v>
      </c>
      <c r="H34" s="190">
        <v>4.3907686567399997</v>
      </c>
      <c r="I34" s="190">
        <v>4.2672665514999997</v>
      </c>
      <c r="J34" s="190">
        <v>4.2537939680600001</v>
      </c>
      <c r="K34" s="15"/>
      <c r="L34" s="15"/>
      <c r="M34" s="15"/>
    </row>
    <row r="35" spans="1:13" ht="13.8" outlineLevel="3" x14ac:dyDescent="0.3">
      <c r="A35" s="191" t="s">
        <v>34</v>
      </c>
      <c r="B35" s="190">
        <f t="shared" ref="B35:J35" si="7">SUM(B$36:B$45)</f>
        <v>342.93997620361</v>
      </c>
      <c r="C35" s="190">
        <f t="shared" si="7"/>
        <v>351.42368175006999</v>
      </c>
      <c r="D35" s="190">
        <f t="shared" si="7"/>
        <v>350.39060889588001</v>
      </c>
      <c r="E35" s="190">
        <f t="shared" si="7"/>
        <v>348.65248924481006</v>
      </c>
      <c r="F35" s="190">
        <f t="shared" si="7"/>
        <v>356.43266794719</v>
      </c>
      <c r="G35" s="190">
        <f t="shared" si="7"/>
        <v>354.92073664800995</v>
      </c>
      <c r="H35" s="190">
        <f t="shared" si="7"/>
        <v>352.46536046552001</v>
      </c>
      <c r="I35" s="190">
        <f t="shared" si="7"/>
        <v>354.93523253653996</v>
      </c>
      <c r="J35" s="190">
        <f t="shared" si="7"/>
        <v>358.82973843775005</v>
      </c>
      <c r="K35" s="15"/>
      <c r="L35" s="15"/>
      <c r="M35" s="15"/>
    </row>
    <row r="36" spans="1:13" ht="13.8" outlineLevel="4" x14ac:dyDescent="0.3">
      <c r="A36" s="189" t="s">
        <v>35</v>
      </c>
      <c r="B36" s="190">
        <v>1.0879674421800001</v>
      </c>
      <c r="C36" s="190">
        <v>1.12520998098</v>
      </c>
      <c r="D36" s="190">
        <v>1.11321226972</v>
      </c>
      <c r="E36" s="190">
        <v>1.1021121523299999</v>
      </c>
      <c r="F36" s="190">
        <v>1.1322062687700001</v>
      </c>
      <c r="G36" s="190">
        <v>1.1286653370299999</v>
      </c>
      <c r="H36" s="190">
        <v>1.12850749743</v>
      </c>
      <c r="I36" s="190">
        <v>1.1375804218900001</v>
      </c>
      <c r="J36" s="190">
        <v>1.1509587542299999</v>
      </c>
      <c r="K36" s="15"/>
      <c r="L36" s="15"/>
      <c r="M36" s="15"/>
    </row>
    <row r="37" spans="1:13" ht="13.8" outlineLevel="4" x14ac:dyDescent="0.3">
      <c r="A37" s="189" t="s">
        <v>36</v>
      </c>
      <c r="B37" s="190">
        <v>9.9712999999999994</v>
      </c>
      <c r="C37" s="190">
        <v>10.24846</v>
      </c>
      <c r="D37" s="190">
        <v>10.204879999999999</v>
      </c>
      <c r="E37" s="190">
        <v>10.06246</v>
      </c>
      <c r="F37" s="190">
        <v>10.31606</v>
      </c>
      <c r="G37" s="190">
        <v>10.28726</v>
      </c>
      <c r="H37" s="190">
        <v>10.23338</v>
      </c>
      <c r="I37" s="190">
        <v>10.25494</v>
      </c>
      <c r="J37" s="190">
        <v>10.37608</v>
      </c>
      <c r="K37" s="15"/>
      <c r="L37" s="15"/>
      <c r="M37" s="15"/>
    </row>
    <row r="38" spans="1:13" ht="13.8" outlineLevel="4" x14ac:dyDescent="0.3">
      <c r="A38" s="189" t="s">
        <v>37</v>
      </c>
      <c r="B38" s="190">
        <v>225.41873603241999</v>
      </c>
      <c r="C38" s="190">
        <v>230.67629633621999</v>
      </c>
      <c r="D38" s="190">
        <v>230.20135148238001</v>
      </c>
      <c r="E38" s="190">
        <v>229.55795835524</v>
      </c>
      <c r="F38" s="190">
        <v>234.84099611753999</v>
      </c>
      <c r="G38" s="190">
        <v>233.12087171728999</v>
      </c>
      <c r="H38" s="190">
        <v>230.73405386053</v>
      </c>
      <c r="I38" s="190">
        <v>232.34197319397001</v>
      </c>
      <c r="J38" s="190">
        <v>234.62137383704001</v>
      </c>
      <c r="K38" s="15"/>
      <c r="L38" s="15"/>
      <c r="M38" s="15"/>
    </row>
    <row r="39" spans="1:13" ht="13.8" outlineLevel="4" x14ac:dyDescent="0.3">
      <c r="A39" s="189" t="s">
        <v>38</v>
      </c>
      <c r="B39" s="190">
        <v>9.9712999999999994</v>
      </c>
      <c r="C39" s="190">
        <v>10.24846</v>
      </c>
      <c r="D39" s="190">
        <v>10.204879999999999</v>
      </c>
      <c r="E39" s="190">
        <v>10.06246</v>
      </c>
      <c r="F39" s="190">
        <v>10.31606</v>
      </c>
      <c r="G39" s="190">
        <v>10.28726</v>
      </c>
      <c r="H39" s="190">
        <v>10.23338</v>
      </c>
      <c r="I39" s="190">
        <v>10.25494</v>
      </c>
      <c r="J39" s="190">
        <v>10.37608</v>
      </c>
      <c r="K39" s="15"/>
      <c r="L39" s="15"/>
      <c r="M39" s="15"/>
    </row>
    <row r="40" spans="1:13" ht="13.8" outlineLevel="4" x14ac:dyDescent="0.3">
      <c r="A40" s="189" t="s">
        <v>39</v>
      </c>
      <c r="B40" s="190">
        <v>28.228915603210002</v>
      </c>
      <c r="C40" s="190">
        <v>29.013560157939999</v>
      </c>
      <c r="D40" s="190">
        <v>28.942408796799999</v>
      </c>
      <c r="E40" s="190">
        <v>28.53848656932</v>
      </c>
      <c r="F40" s="190">
        <v>29.25773019304</v>
      </c>
      <c r="G40" s="190">
        <v>29.208802188810001</v>
      </c>
      <c r="H40" s="190">
        <v>29.055819736539998</v>
      </c>
      <c r="I40" s="190">
        <v>29.127097757040001</v>
      </c>
      <c r="J40" s="190">
        <v>29.509836574880001</v>
      </c>
      <c r="K40" s="15"/>
      <c r="L40" s="15"/>
      <c r="M40" s="15"/>
    </row>
    <row r="41" spans="1:13" ht="13.8" outlineLevel="4" x14ac:dyDescent="0.3">
      <c r="A41" s="189" t="s">
        <v>40</v>
      </c>
      <c r="B41" s="190">
        <v>5.5870749771800003</v>
      </c>
      <c r="C41" s="190">
        <v>5.7423720498500002</v>
      </c>
      <c r="D41" s="190">
        <v>5.7179534958499998</v>
      </c>
      <c r="E41" s="190">
        <v>5.6259962034099997</v>
      </c>
      <c r="F41" s="190">
        <v>5.9601243002100004</v>
      </c>
      <c r="G41" s="190">
        <v>5.9458788916099996</v>
      </c>
      <c r="H41" s="190">
        <v>6.1703669083400001</v>
      </c>
      <c r="I41" s="190">
        <v>6.2279983986899996</v>
      </c>
      <c r="J41" s="190">
        <v>6.3015687682900001</v>
      </c>
      <c r="K41" s="15"/>
      <c r="L41" s="15"/>
      <c r="M41" s="15"/>
    </row>
    <row r="42" spans="1:13" ht="13.8" outlineLevel="4" x14ac:dyDescent="0.3">
      <c r="A42" s="189" t="s">
        <v>41</v>
      </c>
      <c r="B42" s="190">
        <v>4.2387800000000002</v>
      </c>
      <c r="C42" s="190">
        <v>4.2848300000000004</v>
      </c>
      <c r="D42" s="190">
        <v>4.3208099999999998</v>
      </c>
      <c r="E42" s="190">
        <v>4.3795500000000001</v>
      </c>
      <c r="F42" s="190">
        <v>4.4081999999999999</v>
      </c>
      <c r="G42" s="190">
        <v>4.4265299999999996</v>
      </c>
      <c r="H42" s="190">
        <v>4.4847799999999998</v>
      </c>
      <c r="I42" s="190">
        <v>4.4691599999999996</v>
      </c>
      <c r="J42" s="190">
        <v>4.45505</v>
      </c>
      <c r="K42" s="15"/>
      <c r="L42" s="15"/>
      <c r="M42" s="15"/>
    </row>
    <row r="43" spans="1:13" ht="13.8" outlineLevel="4" x14ac:dyDescent="0.3">
      <c r="A43" s="189" t="s">
        <v>42</v>
      </c>
      <c r="B43" s="190">
        <v>2.1724394340000001E-2</v>
      </c>
      <c r="C43" s="190">
        <v>2.196040761E-2</v>
      </c>
      <c r="D43" s="190">
        <v>2.2144810609999999E-2</v>
      </c>
      <c r="E43" s="190">
        <v>2.2445862069999999E-2</v>
      </c>
      <c r="F43" s="190">
        <v>2.259269769E-2</v>
      </c>
      <c r="G43" s="190">
        <v>2.2686641739999999E-2</v>
      </c>
      <c r="H43" s="190">
        <v>2.298518188E-2</v>
      </c>
      <c r="I43" s="190">
        <v>2.2905127000000001E-2</v>
      </c>
      <c r="J43" s="190">
        <v>2.2832811089999999E-2</v>
      </c>
      <c r="K43" s="15"/>
      <c r="L43" s="15"/>
      <c r="M43" s="15"/>
    </row>
    <row r="44" spans="1:13" ht="13.8" outlineLevel="4" x14ac:dyDescent="0.3">
      <c r="A44" s="189" t="s">
        <v>43</v>
      </c>
      <c r="B44" s="190">
        <v>22.164438994840001</v>
      </c>
      <c r="C44" s="190">
        <v>22.780516729119999</v>
      </c>
      <c r="D44" s="190">
        <v>22.7437160781</v>
      </c>
      <c r="E44" s="190">
        <v>22.68318245052</v>
      </c>
      <c r="F44" s="190">
        <v>23.399484029650001</v>
      </c>
      <c r="G44" s="190">
        <v>23.469501961230002</v>
      </c>
      <c r="H44" s="190">
        <v>23.441490877549999</v>
      </c>
      <c r="I44" s="190">
        <v>24.082114794420001</v>
      </c>
      <c r="J44" s="190">
        <v>24.366593044529999</v>
      </c>
      <c r="K44" s="15"/>
      <c r="L44" s="15"/>
      <c r="M44" s="15"/>
    </row>
    <row r="45" spans="1:13" ht="13.8" outlineLevel="4" x14ac:dyDescent="0.3">
      <c r="A45" s="189" t="s">
        <v>44</v>
      </c>
      <c r="B45" s="190">
        <v>36.24973875944</v>
      </c>
      <c r="C45" s="190">
        <v>37.282016088349998</v>
      </c>
      <c r="D45" s="190">
        <v>36.919251962419999</v>
      </c>
      <c r="E45" s="190">
        <v>36.617837651919999</v>
      </c>
      <c r="F45" s="190">
        <v>36.779214340289997</v>
      </c>
      <c r="G45" s="190">
        <v>37.023279910299998</v>
      </c>
      <c r="H45" s="190">
        <v>36.960596403250001</v>
      </c>
      <c r="I45" s="190">
        <v>37.016522843529998</v>
      </c>
      <c r="J45" s="190">
        <v>37.64936464769</v>
      </c>
      <c r="K45" s="15"/>
      <c r="L45" s="15"/>
      <c r="M45" s="15"/>
    </row>
    <row r="46" spans="1:13" ht="13.8" outlineLevel="3" x14ac:dyDescent="0.3">
      <c r="A46" s="191" t="s">
        <v>45</v>
      </c>
      <c r="B46" s="190">
        <f t="shared" ref="B46:J46" si="8">SUM(B$47:B$47)</f>
        <v>25.680897022509999</v>
      </c>
      <c r="C46" s="190">
        <f t="shared" si="8"/>
        <v>25.959893646040001</v>
      </c>
      <c r="D46" s="190">
        <f t="shared" si="8"/>
        <v>26.17788058447</v>
      </c>
      <c r="E46" s="190">
        <f t="shared" si="8"/>
        <v>26.533760316630001</v>
      </c>
      <c r="F46" s="190">
        <f t="shared" si="8"/>
        <v>26.707338020520002</v>
      </c>
      <c r="G46" s="190">
        <f t="shared" si="8"/>
        <v>26.818391399660001</v>
      </c>
      <c r="H46" s="190">
        <f t="shared" si="8"/>
        <v>27.171302438110001</v>
      </c>
      <c r="I46" s="190">
        <f t="shared" si="8"/>
        <v>27.076667752780001</v>
      </c>
      <c r="J46" s="190">
        <f t="shared" si="8"/>
        <v>26.99118149093</v>
      </c>
      <c r="K46" s="15"/>
      <c r="L46" s="15"/>
      <c r="M46" s="15"/>
    </row>
    <row r="47" spans="1:13" ht="13.8" outlineLevel="4" x14ac:dyDescent="0.3">
      <c r="A47" s="189" t="s">
        <v>46</v>
      </c>
      <c r="B47" s="190">
        <v>25.680897022509999</v>
      </c>
      <c r="C47" s="190">
        <v>25.959893646040001</v>
      </c>
      <c r="D47" s="190">
        <v>26.17788058447</v>
      </c>
      <c r="E47" s="190">
        <v>26.533760316630001</v>
      </c>
      <c r="F47" s="190">
        <v>26.707338020520002</v>
      </c>
      <c r="G47" s="190">
        <v>26.818391399660001</v>
      </c>
      <c r="H47" s="190">
        <v>27.171302438110001</v>
      </c>
      <c r="I47" s="190">
        <v>27.076667752780001</v>
      </c>
      <c r="J47" s="190">
        <v>26.99118149093</v>
      </c>
      <c r="K47" s="15"/>
      <c r="L47" s="15"/>
      <c r="M47" s="15"/>
    </row>
    <row r="48" spans="1:13" ht="13.8" outlineLevel="3" x14ac:dyDescent="0.3">
      <c r="A48" s="191" t="s">
        <v>47</v>
      </c>
      <c r="B48" s="190">
        <f t="shared" ref="B48:J48" si="9">SUM(B$49:B$54)</f>
        <v>90.724545800569999</v>
      </c>
      <c r="C48" s="190">
        <f t="shared" si="9"/>
        <v>93.469891828670001</v>
      </c>
      <c r="D48" s="190">
        <f t="shared" si="9"/>
        <v>91.53783166720001</v>
      </c>
      <c r="E48" s="190">
        <f t="shared" si="9"/>
        <v>92.132327267200012</v>
      </c>
      <c r="F48" s="190">
        <f t="shared" si="9"/>
        <v>95.436465884179995</v>
      </c>
      <c r="G48" s="190">
        <f t="shared" si="9"/>
        <v>97.713380868409985</v>
      </c>
      <c r="H48" s="190">
        <f t="shared" si="9"/>
        <v>95.92314396802</v>
      </c>
      <c r="I48" s="190">
        <f t="shared" si="9"/>
        <v>96.374305886019997</v>
      </c>
      <c r="J48" s="190">
        <f t="shared" si="9"/>
        <v>98.772969598670002</v>
      </c>
      <c r="K48" s="15"/>
      <c r="L48" s="15"/>
      <c r="M48" s="15"/>
    </row>
    <row r="49" spans="1:13" ht="13.8" outlineLevel="4" x14ac:dyDescent="0.3">
      <c r="A49" s="189" t="s">
        <v>48</v>
      </c>
      <c r="B49" s="190">
        <v>32.406725000000002</v>
      </c>
      <c r="C49" s="190">
        <v>33.307495000000003</v>
      </c>
      <c r="D49" s="190">
        <v>33.165860000000002</v>
      </c>
      <c r="E49" s="190">
        <v>32.702995000000001</v>
      </c>
      <c r="F49" s="190">
        <v>33.527194999999999</v>
      </c>
      <c r="G49" s="190">
        <v>33.433594999999997</v>
      </c>
      <c r="H49" s="190">
        <v>33.258485</v>
      </c>
      <c r="I49" s="190">
        <v>33.328555000000001</v>
      </c>
      <c r="J49" s="190">
        <v>33.722259999999999</v>
      </c>
      <c r="K49" s="15"/>
      <c r="L49" s="15"/>
      <c r="M49" s="15"/>
    </row>
    <row r="50" spans="1:13" ht="13.8" outlineLevel="4" x14ac:dyDescent="0.3">
      <c r="A50" s="189" t="s">
        <v>49</v>
      </c>
      <c r="B50" s="190">
        <v>2.5491229600000001E-3</v>
      </c>
      <c r="C50" s="190">
        <v>2.6199778100000001E-3</v>
      </c>
      <c r="D50" s="190">
        <v>2.6088367499999998E-3</v>
      </c>
      <c r="E50" s="190">
        <v>2.57242765E-3</v>
      </c>
      <c r="F50" s="190">
        <v>2.6372594700000002E-3</v>
      </c>
      <c r="G50" s="190">
        <v>2.62989687E-3</v>
      </c>
      <c r="H50" s="190">
        <v>2.6161226600000002E-3</v>
      </c>
      <c r="I50" s="190">
        <v>2.62163439E-3</v>
      </c>
      <c r="J50" s="190">
        <v>2.6526033499999998E-3</v>
      </c>
      <c r="K50" s="15"/>
      <c r="L50" s="15"/>
      <c r="M50" s="15"/>
    </row>
    <row r="51" spans="1:13" ht="13.8" outlineLevel="4" x14ac:dyDescent="0.3">
      <c r="A51" s="189" t="s">
        <v>50</v>
      </c>
      <c r="B51" s="190">
        <v>27.161416202040002</v>
      </c>
      <c r="C51" s="190">
        <v>28.087962550419999</v>
      </c>
      <c r="D51" s="190">
        <v>27.791771498500001</v>
      </c>
      <c r="E51" s="190">
        <v>29.73688290538</v>
      </c>
      <c r="F51" s="190">
        <v>30.547810590419999</v>
      </c>
      <c r="G51" s="190">
        <v>33.312928595179997</v>
      </c>
      <c r="H51" s="190">
        <v>33.271353090589997</v>
      </c>
      <c r="I51" s="190">
        <v>33.535437666999997</v>
      </c>
      <c r="J51" s="190">
        <v>36.750256347190003</v>
      </c>
      <c r="K51" s="15"/>
      <c r="L51" s="15"/>
      <c r="M51" s="15"/>
    </row>
    <row r="52" spans="1:13" ht="13.8" outlineLevel="4" x14ac:dyDescent="0.3">
      <c r="A52" s="189" t="s">
        <v>51</v>
      </c>
      <c r="B52" s="190">
        <v>7.2839387001600002</v>
      </c>
      <c r="C52" s="190">
        <v>7.4864014131700003</v>
      </c>
      <c r="D52" s="190">
        <v>7.37933507319</v>
      </c>
      <c r="E52" s="190">
        <v>6.7824236551699997</v>
      </c>
      <c r="F52" s="190">
        <v>6.95335826152</v>
      </c>
      <c r="G52" s="190">
        <v>6.6300236896299998</v>
      </c>
      <c r="H52" s="190">
        <v>6.3991766128599998</v>
      </c>
      <c r="I52" s="190">
        <v>6.4126585951399999</v>
      </c>
      <c r="J52" s="190">
        <v>6.1800875790200003</v>
      </c>
      <c r="K52" s="15"/>
      <c r="L52" s="15"/>
      <c r="M52" s="15"/>
    </row>
    <row r="53" spans="1:13" ht="13.8" outlineLevel="4" x14ac:dyDescent="0.3">
      <c r="A53" s="189" t="s">
        <v>52</v>
      </c>
      <c r="B53" s="190">
        <v>15.787700961240001</v>
      </c>
      <c r="C53" s="190">
        <v>16.226532327099999</v>
      </c>
      <c r="D53" s="190">
        <v>14.928503449939999</v>
      </c>
      <c r="E53" s="190">
        <v>14.7201602395</v>
      </c>
      <c r="F53" s="190">
        <v>15.091146324089999</v>
      </c>
      <c r="G53" s="190">
        <v>15.04901541227</v>
      </c>
      <c r="H53" s="190">
        <v>13.70762336608</v>
      </c>
      <c r="I53" s="190">
        <v>13.736503008950001</v>
      </c>
      <c r="J53" s="190">
        <v>12.64912359577</v>
      </c>
      <c r="K53" s="15"/>
      <c r="L53" s="15"/>
      <c r="M53" s="15"/>
    </row>
    <row r="54" spans="1:13" ht="13.8" outlineLevel="4" x14ac:dyDescent="0.3">
      <c r="A54" s="189" t="s">
        <v>53</v>
      </c>
      <c r="B54" s="190">
        <v>8.0822158141700005</v>
      </c>
      <c r="C54" s="190">
        <v>8.3588805601700003</v>
      </c>
      <c r="D54" s="190">
        <v>8.2697528088199999</v>
      </c>
      <c r="E54" s="190">
        <v>8.1872930395000001</v>
      </c>
      <c r="F54" s="190">
        <v>9.3143184486799999</v>
      </c>
      <c r="G54" s="190">
        <v>9.2851882744599994</v>
      </c>
      <c r="H54" s="190">
        <v>9.2838897758299996</v>
      </c>
      <c r="I54" s="190">
        <v>9.3585299805400002</v>
      </c>
      <c r="J54" s="190">
        <v>9.4685894733399998</v>
      </c>
      <c r="K54" s="15"/>
      <c r="L54" s="15"/>
      <c r="M54" s="15"/>
    </row>
    <row r="55" spans="1:13" ht="13.8" outlineLevel="3" x14ac:dyDescent="0.3">
      <c r="A55" s="191" t="s">
        <v>54</v>
      </c>
      <c r="B55" s="190">
        <f t="shared" ref="B55:J55" si="10">SUM(B$56:B$57)</f>
        <v>794.79837836156003</v>
      </c>
      <c r="C55" s="190">
        <f t="shared" si="10"/>
        <v>803.43304808340008</v>
      </c>
      <c r="D55" s="190">
        <f t="shared" si="10"/>
        <v>810.17952835682991</v>
      </c>
      <c r="E55" s="190">
        <f t="shared" si="10"/>
        <v>821.19365429518996</v>
      </c>
      <c r="F55" s="190">
        <f t="shared" si="10"/>
        <v>826.56571265632999</v>
      </c>
      <c r="G55" s="190">
        <f t="shared" si="10"/>
        <v>830.00270496907001</v>
      </c>
      <c r="H55" s="190">
        <f t="shared" si="10"/>
        <v>840.92495277140006</v>
      </c>
      <c r="I55" s="190">
        <f t="shared" si="10"/>
        <v>837.99610280274999</v>
      </c>
      <c r="J55" s="190">
        <f t="shared" si="10"/>
        <v>835.35038749821001</v>
      </c>
      <c r="K55" s="15"/>
      <c r="L55" s="15"/>
      <c r="M55" s="15"/>
    </row>
    <row r="56" spans="1:13" ht="13.8" outlineLevel="4" x14ac:dyDescent="0.3">
      <c r="A56" s="189" t="s">
        <v>61</v>
      </c>
      <c r="B56" s="190">
        <v>646.54004031045997</v>
      </c>
      <c r="C56" s="190">
        <v>653.56403515244006</v>
      </c>
      <c r="D56" s="190">
        <v>659.05205544373996</v>
      </c>
      <c r="E56" s="190">
        <v>668.01165277312998</v>
      </c>
      <c r="F56" s="190">
        <v>672.38163002009003</v>
      </c>
      <c r="G56" s="190">
        <v>675.17750027966997</v>
      </c>
      <c r="H56" s="190">
        <v>684.06235803310005</v>
      </c>
      <c r="I56" s="190">
        <v>681.67984338743997</v>
      </c>
      <c r="J56" s="190">
        <v>679.52764865954998</v>
      </c>
      <c r="K56" s="15"/>
      <c r="L56" s="15"/>
      <c r="M56" s="15"/>
    </row>
    <row r="57" spans="1:13" ht="13.8" outlineLevel="4" x14ac:dyDescent="0.3">
      <c r="A57" s="189" t="s">
        <v>62</v>
      </c>
      <c r="B57" s="190">
        <v>148.2583380511</v>
      </c>
      <c r="C57" s="190">
        <v>149.86901293096</v>
      </c>
      <c r="D57" s="190">
        <v>151.12747291309</v>
      </c>
      <c r="E57" s="190">
        <v>153.18200152206001</v>
      </c>
      <c r="F57" s="190">
        <v>154.18408263623999</v>
      </c>
      <c r="G57" s="190">
        <v>154.82520468940001</v>
      </c>
      <c r="H57" s="190">
        <v>156.8625947383</v>
      </c>
      <c r="I57" s="190">
        <v>156.31625941530999</v>
      </c>
      <c r="J57" s="190">
        <v>155.82273883866</v>
      </c>
      <c r="K57" s="15"/>
      <c r="L57" s="15"/>
      <c r="M57" s="15"/>
    </row>
    <row r="58" spans="1:13" ht="13.8" outlineLevel="3" x14ac:dyDescent="0.3">
      <c r="A58" s="191" t="s">
        <v>63</v>
      </c>
      <c r="B58" s="190">
        <f t="shared" ref="B58:J58" si="11">SUM(B$59:B$59)</f>
        <v>127.1634</v>
      </c>
      <c r="C58" s="190">
        <f t="shared" si="11"/>
        <v>128.54490000000001</v>
      </c>
      <c r="D58" s="190">
        <f t="shared" si="11"/>
        <v>129.62430000000001</v>
      </c>
      <c r="E58" s="190">
        <f t="shared" si="11"/>
        <v>131.38650000000001</v>
      </c>
      <c r="F58" s="190">
        <f t="shared" si="11"/>
        <v>132.24600000000001</v>
      </c>
      <c r="G58" s="190">
        <f t="shared" si="11"/>
        <v>132.79589999999999</v>
      </c>
      <c r="H58" s="190">
        <f t="shared" si="11"/>
        <v>134.54339999999999</v>
      </c>
      <c r="I58" s="190">
        <f t="shared" si="11"/>
        <v>134.07480000000001</v>
      </c>
      <c r="J58" s="190">
        <f t="shared" si="11"/>
        <v>133.6515</v>
      </c>
      <c r="K58" s="15"/>
      <c r="L58" s="15"/>
      <c r="M58" s="15"/>
    </row>
    <row r="59" spans="1:13" ht="13.8" outlineLevel="4" x14ac:dyDescent="0.3">
      <c r="A59" s="189" t="s">
        <v>64</v>
      </c>
      <c r="B59" s="190">
        <v>127.1634</v>
      </c>
      <c r="C59" s="190">
        <v>128.54490000000001</v>
      </c>
      <c r="D59" s="190">
        <v>129.62430000000001</v>
      </c>
      <c r="E59" s="190">
        <v>131.38650000000001</v>
      </c>
      <c r="F59" s="190">
        <v>132.24600000000001</v>
      </c>
      <c r="G59" s="190">
        <v>132.79589999999999</v>
      </c>
      <c r="H59" s="190">
        <v>134.54339999999999</v>
      </c>
      <c r="I59" s="190">
        <v>134.07480000000001</v>
      </c>
      <c r="J59" s="190">
        <v>133.6515</v>
      </c>
      <c r="K59" s="15"/>
      <c r="L59" s="15"/>
      <c r="M59" s="15"/>
    </row>
    <row r="60" spans="1:13" ht="13.8" outlineLevel="3" x14ac:dyDescent="0.3">
      <c r="A60" s="191" t="s">
        <v>65</v>
      </c>
      <c r="B60" s="190">
        <f t="shared" ref="B60:J60" si="12">SUM(B$61:B$61)</f>
        <v>183.21922651337999</v>
      </c>
      <c r="C60" s="190">
        <f t="shared" si="12"/>
        <v>186.88225633098</v>
      </c>
      <c r="D60" s="190">
        <f t="shared" si="12"/>
        <v>187.48257249695999</v>
      </c>
      <c r="E60" s="190">
        <f t="shared" si="12"/>
        <v>187.49140360001999</v>
      </c>
      <c r="F60" s="190">
        <f t="shared" si="12"/>
        <v>190.89211683216001</v>
      </c>
      <c r="G60" s="190">
        <f t="shared" si="12"/>
        <v>191.22987653997001</v>
      </c>
      <c r="H60" s="190">
        <f t="shared" si="12"/>
        <v>191.95575344284001</v>
      </c>
      <c r="I60" s="190">
        <f t="shared" si="12"/>
        <v>192.35564965025</v>
      </c>
      <c r="J60" s="190">
        <f t="shared" si="12"/>
        <v>192.47935137364999</v>
      </c>
      <c r="K60" s="15"/>
      <c r="L60" s="15"/>
      <c r="M60" s="15"/>
    </row>
    <row r="61" spans="1:13" ht="13.8" outlineLevel="4" x14ac:dyDescent="0.3">
      <c r="A61" s="189" t="s">
        <v>32</v>
      </c>
      <c r="B61" s="190">
        <v>183.21922651337999</v>
      </c>
      <c r="C61" s="190">
        <v>186.88225633098</v>
      </c>
      <c r="D61" s="190">
        <v>187.48257249695999</v>
      </c>
      <c r="E61" s="190">
        <v>187.49140360001999</v>
      </c>
      <c r="F61" s="190">
        <v>190.89211683216001</v>
      </c>
      <c r="G61" s="190">
        <v>191.22987653997001</v>
      </c>
      <c r="H61" s="190">
        <v>191.95575344284001</v>
      </c>
      <c r="I61" s="190">
        <v>192.35564965025</v>
      </c>
      <c r="J61" s="190">
        <v>192.47935137364999</v>
      </c>
      <c r="K61" s="15"/>
      <c r="L61" s="15"/>
      <c r="M61" s="15"/>
    </row>
    <row r="62" spans="1:13" ht="14.4" outlineLevel="1" x14ac:dyDescent="0.3">
      <c r="A62" s="194" t="s">
        <v>2</v>
      </c>
      <c r="B62" s="195">
        <f t="shared" ref="B62:J62" si="13">B$63+B$77</f>
        <v>276.68300234511992</v>
      </c>
      <c r="C62" s="195">
        <f t="shared" si="13"/>
        <v>278.84119521539998</v>
      </c>
      <c r="D62" s="195">
        <f t="shared" si="13"/>
        <v>270.55078135447002</v>
      </c>
      <c r="E62" s="195">
        <f t="shared" si="13"/>
        <v>259.96150506507001</v>
      </c>
      <c r="F62" s="195">
        <f t="shared" si="13"/>
        <v>259.36070022439003</v>
      </c>
      <c r="G62" s="195">
        <f t="shared" si="13"/>
        <v>261.05182297000999</v>
      </c>
      <c r="H62" s="195">
        <f t="shared" si="13"/>
        <v>262.08278684143005</v>
      </c>
      <c r="I62" s="195">
        <f t="shared" si="13"/>
        <v>260.95876137389001</v>
      </c>
      <c r="J62" s="195">
        <f t="shared" si="13"/>
        <v>257.81238855825006</v>
      </c>
      <c r="K62" s="15"/>
      <c r="L62" s="15"/>
      <c r="M62" s="15"/>
    </row>
    <row r="63" spans="1:13" ht="14.4" outlineLevel="2" x14ac:dyDescent="0.3">
      <c r="A63" s="192" t="s">
        <v>3</v>
      </c>
      <c r="B63" s="193">
        <f t="shared" ref="B63:J63" si="14">B$64+B$67+B$75</f>
        <v>64.294409157979999</v>
      </c>
      <c r="C63" s="193">
        <f t="shared" si="14"/>
        <v>62.72434008207</v>
      </c>
      <c r="D63" s="193">
        <f t="shared" si="14"/>
        <v>62.684864492689996</v>
      </c>
      <c r="E63" s="193">
        <f t="shared" si="14"/>
        <v>63.170744999589999</v>
      </c>
      <c r="F63" s="193">
        <f t="shared" si="14"/>
        <v>64.613033530619987</v>
      </c>
      <c r="G63" s="193">
        <f t="shared" si="14"/>
        <v>64.723575562860006</v>
      </c>
      <c r="H63" s="193">
        <f t="shared" si="14"/>
        <v>64.683993433400005</v>
      </c>
      <c r="I63" s="193">
        <f t="shared" si="14"/>
        <v>63.578746133270002</v>
      </c>
      <c r="J63" s="193">
        <f t="shared" si="14"/>
        <v>61.813395261350003</v>
      </c>
      <c r="K63" s="15"/>
      <c r="L63" s="15"/>
      <c r="M63" s="15"/>
    </row>
    <row r="64" spans="1:13" ht="24.75" customHeight="1" outlineLevel="3" x14ac:dyDescent="0.3">
      <c r="A64" s="191" t="s">
        <v>4</v>
      </c>
      <c r="B64" s="190">
        <f t="shared" ref="B64:J64" si="15">SUM(B$65:B$66)</f>
        <v>2.4750116000000002</v>
      </c>
      <c r="C64" s="190">
        <f t="shared" si="15"/>
        <v>2.4750116000000002</v>
      </c>
      <c r="D64" s="190">
        <f t="shared" si="15"/>
        <v>2.4750116000000002</v>
      </c>
      <c r="E64" s="190">
        <f t="shared" si="15"/>
        <v>2.4750116000000002</v>
      </c>
      <c r="F64" s="190">
        <f t="shared" si="15"/>
        <v>2.4750116000000002</v>
      </c>
      <c r="G64" s="190">
        <f t="shared" si="15"/>
        <v>2.4750116000000002</v>
      </c>
      <c r="H64" s="190">
        <f t="shared" si="15"/>
        <v>2.4750116000000002</v>
      </c>
      <c r="I64" s="190">
        <f t="shared" si="15"/>
        <v>2.4750116000000002</v>
      </c>
      <c r="J64" s="190">
        <f t="shared" si="15"/>
        <v>2.4750116000000002</v>
      </c>
      <c r="K64" s="15"/>
      <c r="L64" s="15"/>
      <c r="M64" s="15"/>
    </row>
    <row r="65" spans="1:13" ht="13.8" outlineLevel="4" x14ac:dyDescent="0.3">
      <c r="A65" s="189" t="s">
        <v>66</v>
      </c>
      <c r="B65" s="190">
        <v>1.1600000000000001E-5</v>
      </c>
      <c r="C65" s="190">
        <v>1.1600000000000001E-5</v>
      </c>
      <c r="D65" s="190">
        <v>1.1600000000000001E-5</v>
      </c>
      <c r="E65" s="190">
        <v>1.1600000000000001E-5</v>
      </c>
      <c r="F65" s="190">
        <v>1.1600000000000001E-5</v>
      </c>
      <c r="G65" s="190">
        <v>1.1600000000000001E-5</v>
      </c>
      <c r="H65" s="190">
        <v>1.1600000000000001E-5</v>
      </c>
      <c r="I65" s="190">
        <v>1.1600000000000001E-5</v>
      </c>
      <c r="J65" s="190">
        <v>1.1600000000000001E-5</v>
      </c>
      <c r="K65" s="15"/>
      <c r="L65" s="15"/>
      <c r="M65" s="15"/>
    </row>
    <row r="66" spans="1:13" ht="13.8" outlineLevel="4" x14ac:dyDescent="0.3">
      <c r="A66" s="189" t="s">
        <v>67</v>
      </c>
      <c r="B66" s="190">
        <v>2.4750000000000001</v>
      </c>
      <c r="C66" s="190">
        <v>2.4750000000000001</v>
      </c>
      <c r="D66" s="190">
        <v>2.4750000000000001</v>
      </c>
      <c r="E66" s="190">
        <v>2.4750000000000001</v>
      </c>
      <c r="F66" s="190">
        <v>2.4750000000000001</v>
      </c>
      <c r="G66" s="190">
        <v>2.4750000000000001</v>
      </c>
      <c r="H66" s="190">
        <v>2.4750000000000001</v>
      </c>
      <c r="I66" s="190">
        <v>2.4750000000000001</v>
      </c>
      <c r="J66" s="190">
        <v>2.4750000000000001</v>
      </c>
      <c r="K66" s="15"/>
      <c r="L66" s="15"/>
      <c r="M66" s="15"/>
    </row>
    <row r="67" spans="1:13" ht="13.8" outlineLevel="3" x14ac:dyDescent="0.3">
      <c r="A67" s="191" t="s">
        <v>20</v>
      </c>
      <c r="B67" s="190">
        <f t="shared" ref="B67:J67" si="16">SUM(B$68:B$74)</f>
        <v>61.81844290798</v>
      </c>
      <c r="C67" s="190">
        <f t="shared" si="16"/>
        <v>60.248373832070001</v>
      </c>
      <c r="D67" s="190">
        <f t="shared" si="16"/>
        <v>60.208898242689997</v>
      </c>
      <c r="E67" s="190">
        <f t="shared" si="16"/>
        <v>60.69477874959</v>
      </c>
      <c r="F67" s="190">
        <f t="shared" si="16"/>
        <v>62.137067280619995</v>
      </c>
      <c r="G67" s="190">
        <f t="shared" si="16"/>
        <v>62.247609312860007</v>
      </c>
      <c r="H67" s="190">
        <f t="shared" si="16"/>
        <v>62.208027183400006</v>
      </c>
      <c r="I67" s="190">
        <f t="shared" si="16"/>
        <v>61.102779883270003</v>
      </c>
      <c r="J67" s="190">
        <f t="shared" si="16"/>
        <v>59.337429011350004</v>
      </c>
      <c r="K67" s="15"/>
      <c r="L67" s="15"/>
      <c r="M67" s="15"/>
    </row>
    <row r="68" spans="1:13" ht="13.8" outlineLevel="4" x14ac:dyDescent="0.3">
      <c r="A68" s="189" t="s">
        <v>72</v>
      </c>
      <c r="B68" s="190">
        <v>1.5222507644000001</v>
      </c>
      <c r="C68" s="190">
        <v>1.4493169236400001</v>
      </c>
      <c r="D68" s="190">
        <v>1.3964207206100001</v>
      </c>
      <c r="E68" s="190">
        <v>1.4561805356799999</v>
      </c>
      <c r="F68" s="190">
        <v>1.4910626625800001</v>
      </c>
      <c r="G68" s="190">
        <v>1.5229270317200001</v>
      </c>
      <c r="H68" s="190">
        <v>1.4415608049799999</v>
      </c>
      <c r="I68" s="190">
        <v>1.40296847286</v>
      </c>
      <c r="J68" s="190">
        <v>1.3816127654599999</v>
      </c>
      <c r="K68" s="15"/>
      <c r="L68" s="15"/>
      <c r="M68" s="15"/>
    </row>
    <row r="69" spans="1:13" ht="13.8" outlineLevel="4" x14ac:dyDescent="0.3">
      <c r="A69" s="189" t="s">
        <v>73</v>
      </c>
      <c r="B69" s="190">
        <v>0.12245364575999999</v>
      </c>
      <c r="C69" s="190">
        <v>0.10831098194</v>
      </c>
      <c r="D69" s="190">
        <v>9.3617551440000002E-2</v>
      </c>
      <c r="E69" s="190">
        <v>7.9075209839999994E-2</v>
      </c>
      <c r="F69" s="190">
        <v>6.3674001569999999E-2</v>
      </c>
      <c r="G69" s="190">
        <v>4.7954076620000001E-2</v>
      </c>
      <c r="H69" s="190">
        <v>3.2390079469999999E-2</v>
      </c>
      <c r="I69" s="190">
        <v>1.6138635070000001E-2</v>
      </c>
      <c r="J69" s="190">
        <v>0</v>
      </c>
      <c r="K69" s="15"/>
      <c r="L69" s="15"/>
      <c r="M69" s="15"/>
    </row>
    <row r="70" spans="1:13" ht="13.8" outlineLevel="4" x14ac:dyDescent="0.3">
      <c r="A70" s="189" t="s">
        <v>74</v>
      </c>
      <c r="B70" s="190">
        <v>10.22976537528</v>
      </c>
      <c r="C70" s="190">
        <v>10.10324263927</v>
      </c>
      <c r="D70" s="190">
        <v>10.18445169752</v>
      </c>
      <c r="E70" s="190">
        <v>9.9761538618600003</v>
      </c>
      <c r="F70" s="190">
        <v>9.2930399490699998</v>
      </c>
      <c r="G70" s="190">
        <v>8.9526348471099997</v>
      </c>
      <c r="H70" s="190">
        <v>8.4628118889599993</v>
      </c>
      <c r="I70" s="190">
        <v>7.9543771734000002</v>
      </c>
      <c r="J70" s="190">
        <v>7.7134575091700004</v>
      </c>
      <c r="K70" s="15"/>
      <c r="L70" s="15"/>
      <c r="M70" s="15"/>
    </row>
    <row r="71" spans="1:13" ht="13.8" outlineLevel="4" x14ac:dyDescent="0.3">
      <c r="A71" s="189" t="s">
        <v>75</v>
      </c>
      <c r="B71" s="190">
        <v>14.832616250719999</v>
      </c>
      <c r="C71" s="190">
        <v>14.360995068639999</v>
      </c>
      <c r="D71" s="190">
        <v>14.12000316798</v>
      </c>
      <c r="E71" s="190">
        <v>14.06139472279</v>
      </c>
      <c r="F71" s="190">
        <v>14.19304725814</v>
      </c>
      <c r="G71" s="190">
        <v>14.031900198220001</v>
      </c>
      <c r="H71" s="190">
        <v>13.91613693223</v>
      </c>
      <c r="I71" s="190">
        <v>14.02644276891</v>
      </c>
      <c r="J71" s="190">
        <v>13.56501437673</v>
      </c>
      <c r="K71" s="15"/>
      <c r="L71" s="15"/>
      <c r="M71" s="15"/>
    </row>
    <row r="72" spans="1:13" ht="13.8" outlineLevel="4" x14ac:dyDescent="0.3">
      <c r="A72" s="189" t="s">
        <v>76</v>
      </c>
      <c r="B72" s="190">
        <v>9.4195108469999997E-2</v>
      </c>
      <c r="C72" s="190">
        <v>8.3316136129999996E-2</v>
      </c>
      <c r="D72" s="190">
        <v>7.2013497120000006E-2</v>
      </c>
      <c r="E72" s="190">
        <v>6.0827080319999997E-2</v>
      </c>
      <c r="F72" s="190">
        <v>4.897999687E-2</v>
      </c>
      <c r="G72" s="190">
        <v>3.6887746749999999E-2</v>
      </c>
      <c r="H72" s="190">
        <v>2.4915441060000001E-2</v>
      </c>
      <c r="I72" s="190">
        <v>1.241432986E-2</v>
      </c>
      <c r="J72" s="190">
        <v>0</v>
      </c>
      <c r="K72" s="15"/>
      <c r="L72" s="15"/>
      <c r="M72" s="15"/>
    </row>
    <row r="73" spans="1:13" ht="13.8" outlineLevel="4" x14ac:dyDescent="0.3">
      <c r="A73" s="189" t="s">
        <v>77</v>
      </c>
      <c r="B73" s="190">
        <v>0.13187315424000001</v>
      </c>
      <c r="C73" s="190">
        <v>0.11664259305999999</v>
      </c>
      <c r="D73" s="190">
        <v>0.10081889855999999</v>
      </c>
      <c r="E73" s="190">
        <v>8.515791516E-2</v>
      </c>
      <c r="F73" s="190">
        <v>6.8571998430000003E-2</v>
      </c>
      <c r="G73" s="190">
        <v>5.1642848380000002E-2</v>
      </c>
      <c r="H73" s="190">
        <v>3.4881620529999997E-2</v>
      </c>
      <c r="I73" s="190">
        <v>1.7380064930000001E-2</v>
      </c>
      <c r="J73" s="190">
        <v>0</v>
      </c>
      <c r="K73" s="15"/>
      <c r="L73" s="15"/>
      <c r="M73" s="15"/>
    </row>
    <row r="74" spans="1:13" ht="13.8" outlineLevel="4" x14ac:dyDescent="0.3">
      <c r="A74" s="189" t="s">
        <v>78</v>
      </c>
      <c r="B74" s="190">
        <v>34.885288609109999</v>
      </c>
      <c r="C74" s="190">
        <v>34.02654948939</v>
      </c>
      <c r="D74" s="190">
        <v>34.241572709460002</v>
      </c>
      <c r="E74" s="190">
        <v>34.97598942394</v>
      </c>
      <c r="F74" s="190">
        <v>36.97869141396</v>
      </c>
      <c r="G74" s="190">
        <v>37.603662564060002</v>
      </c>
      <c r="H74" s="190">
        <v>38.295330416170003</v>
      </c>
      <c r="I74" s="190">
        <v>37.673058438239998</v>
      </c>
      <c r="J74" s="190">
        <v>36.677344359990002</v>
      </c>
      <c r="K74" s="15"/>
      <c r="L74" s="15"/>
      <c r="M74" s="15"/>
    </row>
    <row r="75" spans="1:13" ht="13.8" outlineLevel="3" x14ac:dyDescent="0.3">
      <c r="A75" s="191" t="s">
        <v>79</v>
      </c>
      <c r="B75" s="190">
        <f t="shared" ref="B75:J75" si="17">SUM(B$76:B$76)</f>
        <v>9.5465000000000003E-4</v>
      </c>
      <c r="C75" s="190">
        <f t="shared" si="17"/>
        <v>9.5465000000000003E-4</v>
      </c>
      <c r="D75" s="190">
        <f t="shared" si="17"/>
        <v>9.5465000000000003E-4</v>
      </c>
      <c r="E75" s="190">
        <f t="shared" si="17"/>
        <v>9.5465000000000003E-4</v>
      </c>
      <c r="F75" s="190">
        <f t="shared" si="17"/>
        <v>9.5465000000000003E-4</v>
      </c>
      <c r="G75" s="190">
        <f t="shared" si="17"/>
        <v>9.5465000000000003E-4</v>
      </c>
      <c r="H75" s="190">
        <f t="shared" si="17"/>
        <v>9.5465000000000003E-4</v>
      </c>
      <c r="I75" s="190">
        <f t="shared" si="17"/>
        <v>9.5465000000000003E-4</v>
      </c>
      <c r="J75" s="190">
        <f t="shared" si="17"/>
        <v>9.5465000000000003E-4</v>
      </c>
      <c r="K75" s="15"/>
      <c r="L75" s="15"/>
      <c r="M75" s="15"/>
    </row>
    <row r="76" spans="1:13" ht="13.8" outlineLevel="4" x14ac:dyDescent="0.3">
      <c r="A76" s="189" t="s">
        <v>80</v>
      </c>
      <c r="B76" s="190">
        <v>9.5465000000000003E-4</v>
      </c>
      <c r="C76" s="190">
        <v>9.5465000000000003E-4</v>
      </c>
      <c r="D76" s="190">
        <v>9.5465000000000003E-4</v>
      </c>
      <c r="E76" s="190">
        <v>9.5465000000000003E-4</v>
      </c>
      <c r="F76" s="190">
        <v>9.5465000000000003E-4</v>
      </c>
      <c r="G76" s="190">
        <v>9.5465000000000003E-4</v>
      </c>
      <c r="H76" s="190">
        <v>9.5465000000000003E-4</v>
      </c>
      <c r="I76" s="190">
        <v>9.5465000000000003E-4</v>
      </c>
      <c r="J76" s="190">
        <v>9.5465000000000003E-4</v>
      </c>
      <c r="K76" s="15"/>
      <c r="L76" s="15"/>
      <c r="M76" s="15"/>
    </row>
    <row r="77" spans="1:13" ht="14.4" outlineLevel="2" x14ac:dyDescent="0.3">
      <c r="A77" s="192" t="s">
        <v>22</v>
      </c>
      <c r="B77" s="193">
        <f t="shared" ref="B77:J77" si="18">B$78+B$85+B$88+B$90+B$92</f>
        <v>212.38859318713995</v>
      </c>
      <c r="C77" s="193">
        <f t="shared" si="18"/>
        <v>216.11685513332998</v>
      </c>
      <c r="D77" s="193">
        <f t="shared" si="18"/>
        <v>207.86591686177999</v>
      </c>
      <c r="E77" s="193">
        <f t="shared" si="18"/>
        <v>196.79076006548001</v>
      </c>
      <c r="F77" s="193">
        <f t="shared" si="18"/>
        <v>194.74766669377001</v>
      </c>
      <c r="G77" s="193">
        <f t="shared" si="18"/>
        <v>196.32824740714997</v>
      </c>
      <c r="H77" s="193">
        <f t="shared" si="18"/>
        <v>197.39879340803003</v>
      </c>
      <c r="I77" s="193">
        <f t="shared" si="18"/>
        <v>197.38001524062</v>
      </c>
      <c r="J77" s="193">
        <f t="shared" si="18"/>
        <v>195.99899329690004</v>
      </c>
      <c r="K77" s="15"/>
      <c r="L77" s="15"/>
      <c r="M77" s="15"/>
    </row>
    <row r="78" spans="1:13" ht="13.8" outlineLevel="3" x14ac:dyDescent="0.3">
      <c r="A78" s="191" t="s">
        <v>23</v>
      </c>
      <c r="B78" s="190">
        <f t="shared" ref="B78:J78" si="19">SUM(B$79:B$84)</f>
        <v>129.05537836067998</v>
      </c>
      <c r="C78" s="190">
        <f t="shared" si="19"/>
        <v>131.96632005264999</v>
      </c>
      <c r="D78" s="190">
        <f t="shared" si="19"/>
        <v>123.0541253616</v>
      </c>
      <c r="E78" s="190">
        <f t="shared" si="19"/>
        <v>110.93567318021</v>
      </c>
      <c r="F78" s="190">
        <f t="shared" si="19"/>
        <v>108.24534453144</v>
      </c>
      <c r="G78" s="190">
        <f t="shared" si="19"/>
        <v>109.65215696176</v>
      </c>
      <c r="H78" s="190">
        <f t="shared" si="19"/>
        <v>109.65803168747</v>
      </c>
      <c r="I78" s="190">
        <f t="shared" si="19"/>
        <v>110.07275649979999</v>
      </c>
      <c r="J78" s="190">
        <f t="shared" si="19"/>
        <v>108.92440896404001</v>
      </c>
      <c r="K78" s="15"/>
      <c r="L78" s="15"/>
      <c r="M78" s="15"/>
    </row>
    <row r="79" spans="1:13" ht="13.8" outlineLevel="4" x14ac:dyDescent="0.3">
      <c r="A79" s="189" t="s">
        <v>81</v>
      </c>
      <c r="B79" s="190">
        <v>14.956950000000001</v>
      </c>
      <c r="C79" s="190">
        <v>15.37269</v>
      </c>
      <c r="D79" s="190">
        <v>15.307320000000001</v>
      </c>
      <c r="E79" s="190">
        <v>15.09369</v>
      </c>
      <c r="F79" s="190">
        <v>15.47409</v>
      </c>
      <c r="G79" s="190">
        <v>15.43089</v>
      </c>
      <c r="H79" s="190">
        <v>15.350070000000001</v>
      </c>
      <c r="I79" s="190">
        <v>15.38241</v>
      </c>
      <c r="J79" s="190">
        <v>15.564120000000001</v>
      </c>
      <c r="K79" s="15"/>
      <c r="L79" s="15"/>
      <c r="M79" s="15"/>
    </row>
    <row r="80" spans="1:13" ht="13.8" outlineLevel="4" x14ac:dyDescent="0.3">
      <c r="A80" s="189" t="s">
        <v>26</v>
      </c>
      <c r="B80" s="190">
        <v>66.783923133800002</v>
      </c>
      <c r="C80" s="190">
        <v>68.513499836690002</v>
      </c>
      <c r="D80" s="190">
        <v>59.600715008389997</v>
      </c>
      <c r="E80" s="190">
        <v>50.802112032769998</v>
      </c>
      <c r="F80" s="190">
        <v>51.298581777709998</v>
      </c>
      <c r="G80" s="190">
        <v>52.655393183949997</v>
      </c>
      <c r="H80" s="190">
        <v>52.427565775609999</v>
      </c>
      <c r="I80" s="190">
        <v>52.463464867159999</v>
      </c>
      <c r="J80" s="190">
        <v>50.914574980060003</v>
      </c>
      <c r="K80" s="15"/>
      <c r="L80" s="15"/>
      <c r="M80" s="15"/>
    </row>
    <row r="81" spans="1:13" ht="13.8" outlineLevel="4" x14ac:dyDescent="0.3">
      <c r="A81" s="189" t="s">
        <v>27</v>
      </c>
      <c r="B81" s="190">
        <v>9.0394754543799998</v>
      </c>
      <c r="C81" s="190">
        <v>9.2201888560299992</v>
      </c>
      <c r="D81" s="190">
        <v>9.1809814209299994</v>
      </c>
      <c r="E81" s="190">
        <v>8.9434764541699998</v>
      </c>
      <c r="F81" s="190">
        <v>9.1688751766200003</v>
      </c>
      <c r="G81" s="190">
        <v>9.1432778453600001</v>
      </c>
      <c r="H81" s="190">
        <v>9.0953895048</v>
      </c>
      <c r="I81" s="190">
        <v>9.04396153199</v>
      </c>
      <c r="J81" s="190">
        <v>9.15079643302</v>
      </c>
      <c r="K81" s="15"/>
      <c r="L81" s="15"/>
      <c r="M81" s="15"/>
    </row>
    <row r="82" spans="1:13" ht="13.8" outlineLevel="4" x14ac:dyDescent="0.3">
      <c r="A82" s="189" t="s">
        <v>31</v>
      </c>
      <c r="B82" s="190">
        <v>20.65386147676</v>
      </c>
      <c r="C82" s="190">
        <v>20.886843665090002</v>
      </c>
      <c r="D82" s="190">
        <v>20.93152045299</v>
      </c>
      <c r="E82" s="190">
        <v>21.606342438750001</v>
      </c>
      <c r="F82" s="190">
        <v>21.249379670149999</v>
      </c>
      <c r="G82" s="190">
        <v>21.34850927778</v>
      </c>
      <c r="H82" s="190">
        <v>21.668453991780002</v>
      </c>
      <c r="I82" s="190">
        <v>22.043468072650001</v>
      </c>
      <c r="J82" s="190">
        <v>22.14847821943</v>
      </c>
      <c r="K82" s="15"/>
      <c r="L82" s="15"/>
      <c r="M82" s="15"/>
    </row>
    <row r="83" spans="1:13" ht="13.8" outlineLevel="4" x14ac:dyDescent="0.3">
      <c r="A83" s="189" t="s">
        <v>32</v>
      </c>
      <c r="B83" s="190">
        <v>17.581329146990001</v>
      </c>
      <c r="C83" s="190">
        <v>17.932825734569999</v>
      </c>
      <c r="D83" s="190">
        <v>17.990430803140001</v>
      </c>
      <c r="E83" s="190">
        <v>14.44630786387</v>
      </c>
      <c r="F83" s="190">
        <v>11.008646163230001</v>
      </c>
      <c r="G83" s="190">
        <v>11.02812458472</v>
      </c>
      <c r="H83" s="190">
        <v>11.06998551703</v>
      </c>
      <c r="I83" s="190">
        <v>11.093047317190001</v>
      </c>
      <c r="J83" s="190">
        <v>11.100181129339999</v>
      </c>
      <c r="K83" s="15"/>
      <c r="L83" s="15"/>
      <c r="M83" s="15"/>
    </row>
    <row r="84" spans="1:13" ht="13.8" outlineLevel="4" x14ac:dyDescent="0.3">
      <c r="A84" s="189" t="s">
        <v>33</v>
      </c>
      <c r="B84" s="190">
        <v>3.9839148749999997E-2</v>
      </c>
      <c r="C84" s="190">
        <v>4.0271960269999997E-2</v>
      </c>
      <c r="D84" s="190">
        <v>4.3157676149999998E-2</v>
      </c>
      <c r="E84" s="190">
        <v>4.3744390649999999E-2</v>
      </c>
      <c r="F84" s="190">
        <v>4.5771743730000002E-2</v>
      </c>
      <c r="G84" s="190">
        <v>4.5962069949999997E-2</v>
      </c>
      <c r="H84" s="190">
        <v>4.6566898250000002E-2</v>
      </c>
      <c r="I84" s="190">
        <v>4.6404710809999999E-2</v>
      </c>
      <c r="J84" s="190">
        <v>4.625820219E-2</v>
      </c>
      <c r="K84" s="15"/>
      <c r="L84" s="15"/>
      <c r="M84" s="15"/>
    </row>
    <row r="85" spans="1:13" ht="13.8" outlineLevel="3" x14ac:dyDescent="0.3">
      <c r="A85" s="191" t="s">
        <v>82</v>
      </c>
      <c r="B85" s="190">
        <f t="shared" ref="B85:J85" si="20">SUM(B$86:B$87)</f>
        <v>36.535842410389996</v>
      </c>
      <c r="C85" s="190">
        <f t="shared" si="20"/>
        <v>36.959280518670006</v>
      </c>
      <c r="D85" s="190">
        <f t="shared" si="20"/>
        <v>37.249271652279994</v>
      </c>
      <c r="E85" s="190">
        <f t="shared" si="20"/>
        <v>37.711510808969997</v>
      </c>
      <c r="F85" s="190">
        <f t="shared" si="20"/>
        <v>37.987699020689995</v>
      </c>
      <c r="G85" s="190">
        <f t="shared" si="20"/>
        <v>38.134398726930002</v>
      </c>
      <c r="H85" s="190">
        <f t="shared" si="20"/>
        <v>38.606499833599997</v>
      </c>
      <c r="I85" s="190">
        <f t="shared" si="20"/>
        <v>38.481020647260003</v>
      </c>
      <c r="J85" s="190">
        <f t="shared" si="20"/>
        <v>38.383637148520002</v>
      </c>
      <c r="K85" s="15"/>
      <c r="L85" s="15"/>
      <c r="M85" s="15"/>
    </row>
    <row r="86" spans="1:13" ht="13.8" outlineLevel="4" x14ac:dyDescent="0.3">
      <c r="A86" s="189" t="s">
        <v>83</v>
      </c>
      <c r="B86" s="190">
        <v>34.969935</v>
      </c>
      <c r="C86" s="190">
        <v>35.349847500000003</v>
      </c>
      <c r="D86" s="190">
        <v>35.646682499999997</v>
      </c>
      <c r="E86" s="190">
        <v>36.131287499999999</v>
      </c>
      <c r="F86" s="190">
        <v>36.367649999999998</v>
      </c>
      <c r="G86" s="190">
        <v>36.518872500000001</v>
      </c>
      <c r="H86" s="190">
        <v>36.999434999999998</v>
      </c>
      <c r="I86" s="190">
        <v>36.870570000000001</v>
      </c>
      <c r="J86" s="190">
        <v>36.7541625</v>
      </c>
      <c r="K86" s="15"/>
      <c r="L86" s="15"/>
      <c r="M86" s="15"/>
    </row>
    <row r="87" spans="1:13" ht="13.8" outlineLevel="4" x14ac:dyDescent="0.3">
      <c r="A87" s="189" t="s">
        <v>39</v>
      </c>
      <c r="B87" s="190">
        <v>1.5659074103899999</v>
      </c>
      <c r="C87" s="190">
        <v>1.6094330186700001</v>
      </c>
      <c r="D87" s="190">
        <v>1.60258915228</v>
      </c>
      <c r="E87" s="190">
        <v>1.58022330897</v>
      </c>
      <c r="F87" s="190">
        <v>1.62004902069</v>
      </c>
      <c r="G87" s="190">
        <v>1.6155262269299999</v>
      </c>
      <c r="H87" s="190">
        <v>1.6070648336</v>
      </c>
      <c r="I87" s="190">
        <v>1.61045064726</v>
      </c>
      <c r="J87" s="190">
        <v>1.62947464852</v>
      </c>
      <c r="K87" s="15"/>
      <c r="L87" s="15"/>
      <c r="M87" s="15"/>
    </row>
    <row r="88" spans="1:13" ht="13.8" outlineLevel="3" x14ac:dyDescent="0.3">
      <c r="A88" s="191" t="s">
        <v>47</v>
      </c>
      <c r="B88" s="190">
        <f t="shared" ref="B88:J88" si="21">SUM(B$89:B$89)</f>
        <v>7.0996304551599998</v>
      </c>
      <c r="C88" s="190">
        <f t="shared" si="21"/>
        <v>7.01907891902</v>
      </c>
      <c r="D88" s="190">
        <f t="shared" si="21"/>
        <v>7.0780185874599999</v>
      </c>
      <c r="E88" s="190">
        <f t="shared" si="21"/>
        <v>7.1742419371999997</v>
      </c>
      <c r="F88" s="190">
        <f t="shared" si="21"/>
        <v>7.2211741634599997</v>
      </c>
      <c r="G88" s="190">
        <f t="shared" si="21"/>
        <v>7.08830465553</v>
      </c>
      <c r="H88" s="190">
        <f t="shared" si="21"/>
        <v>7.18158172496</v>
      </c>
      <c r="I88" s="190">
        <f t="shared" si="21"/>
        <v>6.9921039704499997</v>
      </c>
      <c r="J88" s="190">
        <f t="shared" si="21"/>
        <v>6.9700285497800003</v>
      </c>
      <c r="K88" s="15"/>
      <c r="L88" s="15"/>
      <c r="M88" s="15"/>
    </row>
    <row r="89" spans="1:13" ht="13.8" outlineLevel="4" x14ac:dyDescent="0.3">
      <c r="A89" s="189" t="s">
        <v>84</v>
      </c>
      <c r="B89" s="190">
        <v>7.0996304551599998</v>
      </c>
      <c r="C89" s="190">
        <v>7.01907891902</v>
      </c>
      <c r="D89" s="190">
        <v>7.0780185874599999</v>
      </c>
      <c r="E89" s="190">
        <v>7.1742419371999997</v>
      </c>
      <c r="F89" s="190">
        <v>7.2211741634599997</v>
      </c>
      <c r="G89" s="190">
        <v>7.08830465553</v>
      </c>
      <c r="H89" s="190">
        <v>7.18158172496</v>
      </c>
      <c r="I89" s="190">
        <v>6.9921039704499997</v>
      </c>
      <c r="J89" s="190">
        <v>6.9700285497800003</v>
      </c>
      <c r="K89" s="15"/>
      <c r="L89" s="15"/>
      <c r="M89" s="15"/>
    </row>
    <row r="90" spans="1:13" ht="13.8" outlineLevel="3" x14ac:dyDescent="0.3">
      <c r="A90" s="191" t="s">
        <v>85</v>
      </c>
      <c r="B90" s="190">
        <f t="shared" ref="B90:J90" si="22">SUM(B$91:B$91)</f>
        <v>34.969935</v>
      </c>
      <c r="C90" s="190">
        <f t="shared" si="22"/>
        <v>35.349847500000003</v>
      </c>
      <c r="D90" s="190">
        <f t="shared" si="22"/>
        <v>35.646682499999997</v>
      </c>
      <c r="E90" s="190">
        <f t="shared" si="22"/>
        <v>36.131287499999999</v>
      </c>
      <c r="F90" s="190">
        <f t="shared" si="22"/>
        <v>36.367649999999998</v>
      </c>
      <c r="G90" s="190">
        <f t="shared" si="22"/>
        <v>36.518872500000001</v>
      </c>
      <c r="H90" s="190">
        <f t="shared" si="22"/>
        <v>36.999434999999998</v>
      </c>
      <c r="I90" s="190">
        <f t="shared" si="22"/>
        <v>36.870570000000001</v>
      </c>
      <c r="J90" s="190">
        <f t="shared" si="22"/>
        <v>36.7541625</v>
      </c>
      <c r="K90" s="15"/>
      <c r="L90" s="15"/>
      <c r="M90" s="15"/>
    </row>
    <row r="91" spans="1:13" ht="13.8" outlineLevel="4" x14ac:dyDescent="0.3">
      <c r="A91" s="189" t="s">
        <v>87</v>
      </c>
      <c r="B91" s="190">
        <v>34.969935</v>
      </c>
      <c r="C91" s="190">
        <v>35.349847500000003</v>
      </c>
      <c r="D91" s="190">
        <v>35.646682499999997</v>
      </c>
      <c r="E91" s="190">
        <v>36.131287499999999</v>
      </c>
      <c r="F91" s="190">
        <v>36.367649999999998</v>
      </c>
      <c r="G91" s="190">
        <v>36.518872500000001</v>
      </c>
      <c r="H91" s="190">
        <v>36.999434999999998</v>
      </c>
      <c r="I91" s="190">
        <v>36.870570000000001</v>
      </c>
      <c r="J91" s="190">
        <v>36.7541625</v>
      </c>
      <c r="K91" s="15"/>
      <c r="L91" s="15"/>
      <c r="M91" s="15"/>
    </row>
    <row r="92" spans="1:13" ht="13.8" outlineLevel="3" x14ac:dyDescent="0.3">
      <c r="A92" s="191" t="s">
        <v>65</v>
      </c>
      <c r="B92" s="190">
        <f t="shared" ref="B92:J92" si="23">SUM(B$93:B$93)</f>
        <v>4.7278069609099997</v>
      </c>
      <c r="C92" s="190">
        <f t="shared" si="23"/>
        <v>4.82232814299</v>
      </c>
      <c r="D92" s="190">
        <f t="shared" si="23"/>
        <v>4.8378187604400003</v>
      </c>
      <c r="E92" s="190">
        <f t="shared" si="23"/>
        <v>4.8380466390999999</v>
      </c>
      <c r="F92" s="190">
        <f t="shared" si="23"/>
        <v>4.9257989781799996</v>
      </c>
      <c r="G92" s="190">
        <f t="shared" si="23"/>
        <v>4.9345145629299996</v>
      </c>
      <c r="H92" s="190">
        <f t="shared" si="23"/>
        <v>4.953245162</v>
      </c>
      <c r="I92" s="190">
        <f t="shared" si="23"/>
        <v>4.9635641231100003</v>
      </c>
      <c r="J92" s="190">
        <f t="shared" si="23"/>
        <v>4.9667561345599998</v>
      </c>
      <c r="K92" s="15"/>
      <c r="L92" s="15"/>
      <c r="M92" s="15"/>
    </row>
    <row r="93" spans="1:13" ht="13.8" outlineLevel="4" x14ac:dyDescent="0.3">
      <c r="A93" s="189" t="s">
        <v>32</v>
      </c>
      <c r="B93" s="190">
        <v>4.7278069609099997</v>
      </c>
      <c r="C93" s="190">
        <v>4.82232814299</v>
      </c>
      <c r="D93" s="190">
        <v>4.8378187604400003</v>
      </c>
      <c r="E93" s="190">
        <v>4.8380466390999999</v>
      </c>
      <c r="F93" s="190">
        <v>4.9257989781799996</v>
      </c>
      <c r="G93" s="190">
        <v>4.9345145629299996</v>
      </c>
      <c r="H93" s="190">
        <v>4.953245162</v>
      </c>
      <c r="I93" s="190">
        <v>4.9635641231100003</v>
      </c>
      <c r="J93" s="190">
        <v>4.9667561345599998</v>
      </c>
      <c r="K93" s="15"/>
      <c r="L93" s="15"/>
      <c r="M93" s="15"/>
    </row>
    <row r="94" spans="1:13" ht="40.049999999999997" customHeight="1" x14ac:dyDescent="0.2">
      <c r="A94" s="298" t="s">
        <v>158</v>
      </c>
      <c r="B94" s="299"/>
      <c r="C94" s="299"/>
      <c r="D94" s="299"/>
      <c r="E94" s="299"/>
      <c r="F94" s="299"/>
      <c r="G94" s="299"/>
      <c r="H94" s="299"/>
      <c r="I94" s="299"/>
      <c r="J94" s="299"/>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row r="146" spans="2:13" x14ac:dyDescent="0.2">
      <c r="B146" s="14"/>
      <c r="C146" s="14"/>
      <c r="D146" s="14"/>
      <c r="E146" s="14"/>
      <c r="F146" s="14"/>
      <c r="G146" s="14"/>
      <c r="H146" s="14"/>
      <c r="I146" s="14"/>
      <c r="J146" s="14"/>
      <c r="K146" s="15"/>
      <c r="L146" s="15"/>
      <c r="M146" s="15"/>
    </row>
    <row r="147" spans="2:13" x14ac:dyDescent="0.2">
      <c r="B147" s="14"/>
      <c r="C147" s="14"/>
      <c r="D147" s="14"/>
      <c r="E147" s="14"/>
      <c r="F147" s="14"/>
      <c r="G147" s="14"/>
      <c r="H147" s="14"/>
      <c r="I147" s="14"/>
      <c r="J147" s="14"/>
      <c r="K147" s="15"/>
      <c r="L147" s="15"/>
      <c r="M147" s="15"/>
    </row>
    <row r="148" spans="2:13" x14ac:dyDescent="0.2">
      <c r="B148" s="14"/>
      <c r="C148" s="14"/>
      <c r="D148" s="14"/>
      <c r="E148" s="14"/>
      <c r="F148" s="14"/>
      <c r="G148" s="14"/>
      <c r="H148" s="14"/>
      <c r="I148" s="14"/>
      <c r="J148" s="14"/>
      <c r="K148" s="15"/>
      <c r="L148" s="15"/>
      <c r="M148" s="15"/>
    </row>
    <row r="149" spans="2:13" x14ac:dyDescent="0.2">
      <c r="B149" s="14"/>
      <c r="C149" s="14"/>
      <c r="D149" s="14"/>
      <c r="E149" s="14"/>
      <c r="F149" s="14"/>
      <c r="G149" s="14"/>
      <c r="H149" s="14"/>
      <c r="I149" s="14"/>
      <c r="J149" s="14"/>
      <c r="K149" s="15"/>
      <c r="L149" s="15"/>
      <c r="M149" s="15"/>
    </row>
    <row r="150" spans="2:13" x14ac:dyDescent="0.2">
      <c r="B150" s="14"/>
      <c r="C150" s="14"/>
      <c r="D150" s="14"/>
      <c r="E150" s="14"/>
      <c r="F150" s="14"/>
      <c r="G150" s="14"/>
      <c r="H150" s="14"/>
      <c r="I150" s="14"/>
      <c r="J150" s="14"/>
      <c r="K150" s="15"/>
      <c r="L150" s="15"/>
      <c r="M150" s="15"/>
    </row>
    <row r="151" spans="2:13" x14ac:dyDescent="0.2">
      <c r="B151" s="14"/>
      <c r="C151" s="14"/>
      <c r="D151" s="14"/>
      <c r="E151" s="14"/>
      <c r="F151" s="14"/>
      <c r="G151" s="14"/>
      <c r="H151" s="14"/>
      <c r="I151" s="14"/>
      <c r="J151" s="14"/>
      <c r="K151" s="15"/>
      <c r="L151" s="15"/>
      <c r="M151" s="15"/>
    </row>
  </sheetData>
  <mergeCells count="3">
    <mergeCell ref="A2:J2"/>
    <mergeCell ref="A1:J1"/>
    <mergeCell ref="A94:J94"/>
  </mergeCells>
  <phoneticPr fontId="4" type="noConversion"/>
  <printOptions horizontalCentered="1" verticalCentered="1"/>
  <pageMargins left="0.25" right="0.25" top="0.75" bottom="0.75" header="0.3" footer="0.3"/>
  <pageSetup paperSize="9" scale="5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19">
    <tabColor indexed="57"/>
    <outlinePr applyStyles="1" summaryBelow="0"/>
    <pageSetUpPr fitToPage="1"/>
  </sheetPr>
  <dimension ref="A1:O145"/>
  <sheetViews>
    <sheetView workbookViewId="0">
      <selection activeCell="A94" sqref="A94:J94"/>
    </sheetView>
  </sheetViews>
  <sheetFormatPr defaultColWidth="9.109375" defaultRowHeight="10.199999999999999" outlineLevelRow="4" x14ac:dyDescent="0.2"/>
  <cols>
    <col min="1" max="1" width="52" style="12" customWidth="1"/>
    <col min="2" max="10" width="15.109375" style="13" customWidth="1"/>
    <col min="11" max="11" width="9.109375" style="12" customWidth="1"/>
    <col min="12" max="16384" width="9.109375" style="12"/>
  </cols>
  <sheetData>
    <row r="1" spans="1:15" s="26" customFormat="1" ht="13.8" x14ac:dyDescent="0.3">
      <c r="B1" s="27"/>
      <c r="C1" s="27"/>
      <c r="D1" s="27"/>
      <c r="E1" s="27"/>
      <c r="F1" s="27"/>
      <c r="G1" s="27"/>
      <c r="H1" s="27"/>
      <c r="I1" s="27"/>
      <c r="J1" s="27"/>
    </row>
    <row r="2" spans="1:15" s="26" customFormat="1" ht="18" x14ac:dyDescent="0.3">
      <c r="A2" s="5" t="str">
        <f>IF(REPORT_LANG="UKR","Державний та гарантований державою борг України за поточний рік","State debt and State guaranteed debt of  Ukraine for the current year")</f>
        <v>Державний та гарантований державою борг України за поточний рік</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VALUSD</f>
        <v>млрд. дол. США</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6" s="25">
        <f t="shared" ref="B6:J6" si="0">B$7+B$62</f>
        <v>213.33206790508999</v>
      </c>
      <c r="C6" s="25">
        <f t="shared" si="0"/>
        <v>215.00502527706001</v>
      </c>
      <c r="D6" s="25">
        <f t="shared" si="0"/>
        <v>213.18209710066998</v>
      </c>
      <c r="E6" s="25">
        <f t="shared" si="0"/>
        <v>210.82138271957999</v>
      </c>
      <c r="F6" s="25">
        <f t="shared" si="0"/>
        <v>212.00286896928</v>
      </c>
      <c r="G6" s="25">
        <f t="shared" si="0"/>
        <v>210.47802761307</v>
      </c>
      <c r="H6" s="25">
        <f t="shared" si="0"/>
        <v>211.62409906781997</v>
      </c>
      <c r="I6" s="25">
        <f t="shared" si="0"/>
        <v>214.18901496843995</v>
      </c>
      <c r="J6" s="25">
        <f t="shared" si="0"/>
        <v>215.55073598985001</v>
      </c>
    </row>
    <row r="7" spans="1:15" s="140" customFormat="1" ht="14.4" outlineLevel="1" x14ac:dyDescent="0.25">
      <c r="A7" s="182" t="s">
        <v>1</v>
      </c>
      <c r="B7" s="183">
        <f t="shared" ref="B7:J7" si="1">B$8+B$23</f>
        <v>206.80464722402999</v>
      </c>
      <c r="C7" s="183">
        <f t="shared" si="1"/>
        <v>208.49738797955001</v>
      </c>
      <c r="D7" s="183">
        <f t="shared" si="1"/>
        <v>206.92052157762998</v>
      </c>
      <c r="E7" s="183">
        <f t="shared" si="1"/>
        <v>204.88557869715999</v>
      </c>
      <c r="F7" s="183">
        <f t="shared" si="1"/>
        <v>206.11927248486001</v>
      </c>
      <c r="G7" s="183">
        <f t="shared" si="1"/>
        <v>204.58059050159</v>
      </c>
      <c r="H7" s="183">
        <f t="shared" si="1"/>
        <v>205.78027201629996</v>
      </c>
      <c r="I7" s="183">
        <f t="shared" si="1"/>
        <v>208.34991407749996</v>
      </c>
      <c r="J7" s="183">
        <f t="shared" si="1"/>
        <v>209.76376640347002</v>
      </c>
    </row>
    <row r="8" spans="1:15" s="21" customFormat="1" ht="14.4" outlineLevel="2" x14ac:dyDescent="0.25">
      <c r="A8" s="184" t="s">
        <v>3</v>
      </c>
      <c r="B8" s="185">
        <f t="shared" ref="B8:J8" si="2">B$9+B$21</f>
        <v>46.409759241669995</v>
      </c>
      <c r="C8" s="185">
        <f t="shared" si="2"/>
        <v>46.504742661229997</v>
      </c>
      <c r="D8" s="185">
        <f t="shared" si="2"/>
        <v>46.510189458670006</v>
      </c>
      <c r="E8" s="185">
        <f t="shared" si="2"/>
        <v>45.98392448333</v>
      </c>
      <c r="F8" s="185">
        <f t="shared" si="2"/>
        <v>45.454581150620001</v>
      </c>
      <c r="G8" s="185">
        <f t="shared" si="2"/>
        <v>44.931248356110004</v>
      </c>
      <c r="H8" s="185">
        <f t="shared" si="2"/>
        <v>44.138618212479997</v>
      </c>
      <c r="I8" s="185">
        <f t="shared" si="2"/>
        <v>44.9995570257</v>
      </c>
      <c r="J8" s="185">
        <f t="shared" si="2"/>
        <v>44.968409390170002</v>
      </c>
    </row>
    <row r="9" spans="1:15" s="22" customFormat="1" ht="13.8" outlineLevel="3" x14ac:dyDescent="0.25">
      <c r="A9" s="186" t="s">
        <v>4</v>
      </c>
      <c r="B9" s="187">
        <f t="shared" ref="B9:J9" si="3">SUM(B$10:B$20)</f>
        <v>46.378558631459995</v>
      </c>
      <c r="C9" s="187">
        <f t="shared" si="3"/>
        <v>46.473877370769998</v>
      </c>
      <c r="D9" s="187">
        <f t="shared" si="3"/>
        <v>46.479581187880008</v>
      </c>
      <c r="E9" s="187">
        <f t="shared" si="3"/>
        <v>45.954481684530002</v>
      </c>
      <c r="F9" s="187">
        <f t="shared" si="3"/>
        <v>45.42532970797</v>
      </c>
      <c r="G9" s="187">
        <f t="shared" si="3"/>
        <v>44.902118041970006</v>
      </c>
      <c r="H9" s="187">
        <f t="shared" si="3"/>
        <v>44.110603483459997</v>
      </c>
      <c r="I9" s="187">
        <f t="shared" si="3"/>
        <v>44.971444383410002</v>
      </c>
      <c r="J9" s="187">
        <f t="shared" si="3"/>
        <v>44.940207709740001</v>
      </c>
    </row>
    <row r="10" spans="1:15" s="24" customFormat="1" ht="13.8" outlineLevel="4" x14ac:dyDescent="0.25">
      <c r="A10" s="188" t="s">
        <v>7</v>
      </c>
      <c r="B10" s="180">
        <v>0.10026469881</v>
      </c>
      <c r="C10" s="180">
        <v>9.9187132280000007E-2</v>
      </c>
      <c r="D10" s="180">
        <v>9.8361186899999994E-2</v>
      </c>
      <c r="E10" s="180">
        <v>9.704193354E-2</v>
      </c>
      <c r="F10" s="180">
        <v>9.6411233609999994E-2</v>
      </c>
      <c r="G10" s="180">
        <v>9.6012000370000003E-2</v>
      </c>
      <c r="H10" s="180">
        <v>9.4764960600000003E-2</v>
      </c>
      <c r="I10" s="180">
        <v>9.5096170199999996E-2</v>
      </c>
      <c r="J10" s="180">
        <v>9.5397358060000007E-2</v>
      </c>
    </row>
    <row r="11" spans="1:15" ht="13.8" outlineLevel="4" x14ac:dyDescent="0.3">
      <c r="A11" s="189" t="s">
        <v>8</v>
      </c>
      <c r="B11" s="190">
        <v>0.56384148268000001</v>
      </c>
      <c r="C11" s="190">
        <v>0.55778175566999999</v>
      </c>
      <c r="D11" s="190">
        <v>0.55313702755000005</v>
      </c>
      <c r="E11" s="190">
        <v>0.48863467707000002</v>
      </c>
      <c r="F11" s="190">
        <v>0.42874642709999999</v>
      </c>
      <c r="G11" s="190">
        <v>0.38856621327000002</v>
      </c>
      <c r="H11" s="190">
        <v>0.33892409438999999</v>
      </c>
      <c r="I11" s="190">
        <v>0.34010865577999999</v>
      </c>
      <c r="J11" s="190">
        <v>0.34118584528000001</v>
      </c>
      <c r="K11" s="15"/>
      <c r="L11" s="15"/>
      <c r="M11" s="15"/>
    </row>
    <row r="12" spans="1:15" ht="13.8" outlineLevel="4" x14ac:dyDescent="0.3">
      <c r="A12" s="189" t="s">
        <v>9</v>
      </c>
      <c r="B12" s="190">
        <v>2.6012201153199999</v>
      </c>
      <c r="C12" s="190">
        <v>2.4958049212</v>
      </c>
      <c r="D12" s="190">
        <v>2.4750219982799999</v>
      </c>
      <c r="E12" s="190">
        <v>2.4418261693400001</v>
      </c>
      <c r="F12" s="190">
        <v>2.4259561271200001</v>
      </c>
      <c r="G12" s="190">
        <v>2.4159103857200002</v>
      </c>
      <c r="H12" s="190">
        <v>2.3845316380499999</v>
      </c>
      <c r="I12" s="190">
        <v>2.3928657286099999</v>
      </c>
      <c r="J12" s="190">
        <v>2.40044439463</v>
      </c>
      <c r="K12" s="15"/>
      <c r="L12" s="15"/>
      <c r="M12" s="15"/>
    </row>
    <row r="13" spans="1:15" ht="13.8" outlineLevel="4" x14ac:dyDescent="0.3">
      <c r="A13" s="189" t="s">
        <v>10</v>
      </c>
      <c r="B13" s="190">
        <v>6.72992955523</v>
      </c>
      <c r="C13" s="190">
        <v>6.6576015383199998</v>
      </c>
      <c r="D13" s="190">
        <v>6.6021627426</v>
      </c>
      <c r="E13" s="190">
        <v>6.5136123118600002</v>
      </c>
      <c r="F13" s="190">
        <v>6.4712787077499998</v>
      </c>
      <c r="G13" s="190">
        <v>6.4444815240200004</v>
      </c>
      <c r="H13" s="190">
        <v>6.3607781874600002</v>
      </c>
      <c r="I13" s="190">
        <v>6.3830095140900003</v>
      </c>
      <c r="J13" s="190">
        <v>6.4032257325000002</v>
      </c>
      <c r="K13" s="15"/>
      <c r="L13" s="15"/>
      <c r="M13" s="15"/>
    </row>
    <row r="14" spans="1:15" ht="13.8" outlineLevel="4" x14ac:dyDescent="0.3">
      <c r="A14" s="189" t="s">
        <v>13</v>
      </c>
      <c r="B14" s="190">
        <v>0.25278301776000001</v>
      </c>
      <c r="C14" s="190">
        <v>0.25006630368999999</v>
      </c>
      <c r="D14" s="190">
        <v>0.24798396597</v>
      </c>
      <c r="E14" s="190">
        <v>0.24465792148000001</v>
      </c>
      <c r="F14" s="190">
        <v>0.24306782814</v>
      </c>
      <c r="G14" s="190">
        <v>0.24206129858</v>
      </c>
      <c r="H14" s="190">
        <v>0.23891731590000001</v>
      </c>
      <c r="I14" s="190">
        <v>0.23975234719999999</v>
      </c>
      <c r="J14" s="190">
        <v>0.24051168898</v>
      </c>
      <c r="K14" s="15"/>
      <c r="L14" s="15"/>
      <c r="M14" s="15"/>
    </row>
    <row r="15" spans="1:15" ht="13.8" outlineLevel="4" x14ac:dyDescent="0.3">
      <c r="A15" s="189" t="s">
        <v>14</v>
      </c>
      <c r="B15" s="190">
        <v>0.92398782195999996</v>
      </c>
      <c r="C15" s="190">
        <v>0.91405752385000005</v>
      </c>
      <c r="D15" s="190">
        <v>0.90644603676000002</v>
      </c>
      <c r="E15" s="190">
        <v>0.89428847713000004</v>
      </c>
      <c r="F15" s="190">
        <v>0.88847627150999997</v>
      </c>
      <c r="G15" s="190">
        <v>0.63745468797000004</v>
      </c>
      <c r="H15" s="190">
        <v>0.62917518808999995</v>
      </c>
      <c r="I15" s="190">
        <v>0.63137419560999997</v>
      </c>
      <c r="J15" s="190">
        <v>0.63337387905999998</v>
      </c>
      <c r="K15" s="15"/>
      <c r="L15" s="15"/>
      <c r="M15" s="15"/>
    </row>
    <row r="16" spans="1:15" ht="13.8" outlineLevel="4" x14ac:dyDescent="0.3">
      <c r="A16" s="189" t="s">
        <v>15</v>
      </c>
      <c r="B16" s="190">
        <v>10.1475778408</v>
      </c>
      <c r="C16" s="190">
        <v>10.038519614549999</v>
      </c>
      <c r="D16" s="190">
        <v>9.9549274325799999</v>
      </c>
      <c r="E16" s="190">
        <v>9.8214085922199992</v>
      </c>
      <c r="F16" s="190">
        <v>9.7575767887100007</v>
      </c>
      <c r="G16" s="190">
        <v>9.7144479309899996</v>
      </c>
      <c r="H16" s="190">
        <v>9.5882730479399996</v>
      </c>
      <c r="I16" s="190">
        <v>9.6217846753800007</v>
      </c>
      <c r="J16" s="190">
        <v>9.6522587176600005</v>
      </c>
      <c r="K16" s="15"/>
      <c r="L16" s="15"/>
      <c r="M16" s="15"/>
    </row>
    <row r="17" spans="1:13" ht="13.8" outlineLevel="4" x14ac:dyDescent="0.3">
      <c r="A17" s="189" t="s">
        <v>16</v>
      </c>
      <c r="B17" s="190">
        <v>2.2461923477800001</v>
      </c>
      <c r="C17" s="190">
        <v>1.8386378222899999</v>
      </c>
      <c r="D17" s="190">
        <v>1.74184567245</v>
      </c>
      <c r="E17" s="190">
        <v>1.71848345151</v>
      </c>
      <c r="F17" s="190">
        <v>1.70731459555</v>
      </c>
      <c r="G17" s="190">
        <v>1.7002447063199999</v>
      </c>
      <c r="H17" s="190">
        <v>1.32630887133</v>
      </c>
      <c r="I17" s="190">
        <v>1.23680029355</v>
      </c>
      <c r="J17" s="190">
        <v>0.92890681364000005</v>
      </c>
      <c r="K17" s="15"/>
      <c r="L17" s="15"/>
      <c r="M17" s="15"/>
    </row>
    <row r="18" spans="1:13" ht="13.8" outlineLevel="4" x14ac:dyDescent="0.3">
      <c r="A18" s="189" t="s">
        <v>17</v>
      </c>
      <c r="B18" s="190">
        <v>9.0040548459400007</v>
      </c>
      <c r="C18" s="190">
        <v>8.4764434995699993</v>
      </c>
      <c r="D18" s="190">
        <v>7.8381440285300004</v>
      </c>
      <c r="E18" s="190">
        <v>7.2988209064199996</v>
      </c>
      <c r="F18" s="190">
        <v>6.8820117735600004</v>
      </c>
      <c r="G18" s="190">
        <v>6.4388203851599997</v>
      </c>
      <c r="H18" s="190">
        <v>6.1163709255800001</v>
      </c>
      <c r="I18" s="190">
        <v>5.8210560596400001</v>
      </c>
      <c r="J18" s="190">
        <v>5.7062648007699996</v>
      </c>
      <c r="K18" s="15"/>
      <c r="L18" s="15"/>
      <c r="M18" s="15"/>
    </row>
    <row r="19" spans="1:13" ht="13.8" outlineLevel="4" x14ac:dyDescent="0.3">
      <c r="A19" s="189" t="s">
        <v>18</v>
      </c>
      <c r="B19" s="190">
        <v>13.808706905179999</v>
      </c>
      <c r="C19" s="190">
        <v>13.71133874022</v>
      </c>
      <c r="D19" s="190">
        <v>13.15126484606</v>
      </c>
      <c r="E19" s="190">
        <v>12.98873350547</v>
      </c>
      <c r="F19" s="190">
        <v>12.518425108460001</v>
      </c>
      <c r="G19" s="190">
        <v>12.47201843833</v>
      </c>
      <c r="H19" s="190">
        <v>11.884914834490001</v>
      </c>
      <c r="I19" s="190">
        <v>11.49841191488</v>
      </c>
      <c r="J19" s="190">
        <v>11.065806619530001</v>
      </c>
      <c r="K19" s="15"/>
      <c r="L19" s="15"/>
      <c r="M19" s="15"/>
    </row>
    <row r="20" spans="1:13" ht="13.8" outlineLevel="4" x14ac:dyDescent="0.3">
      <c r="A20" s="189" t="s">
        <v>19</v>
      </c>
      <c r="B20" s="190">
        <v>0</v>
      </c>
      <c r="C20" s="190">
        <v>1.43443851913</v>
      </c>
      <c r="D20" s="190">
        <v>2.9102862502</v>
      </c>
      <c r="E20" s="190">
        <v>3.4469737384900001</v>
      </c>
      <c r="F20" s="190">
        <v>4.0060648464600002</v>
      </c>
      <c r="G20" s="190">
        <v>4.35210047124</v>
      </c>
      <c r="H20" s="190">
        <v>5.1476444196299997</v>
      </c>
      <c r="I20" s="190">
        <v>6.7111848284700004</v>
      </c>
      <c r="J20" s="190">
        <v>7.4728318596300003</v>
      </c>
      <c r="K20" s="15"/>
      <c r="L20" s="15"/>
      <c r="M20" s="15"/>
    </row>
    <row r="21" spans="1:13" ht="13.8" outlineLevel="3" x14ac:dyDescent="0.3">
      <c r="A21" s="191" t="s">
        <v>20</v>
      </c>
      <c r="B21" s="190">
        <f t="shared" ref="B21:J21" si="4">SUM(B$22:B$22)</f>
        <v>3.120061021E-2</v>
      </c>
      <c r="C21" s="190">
        <f t="shared" si="4"/>
        <v>3.086529046E-2</v>
      </c>
      <c r="D21" s="190">
        <f t="shared" si="4"/>
        <v>3.0608270789999999E-2</v>
      </c>
      <c r="E21" s="190">
        <f t="shared" si="4"/>
        <v>2.9442798799999999E-2</v>
      </c>
      <c r="F21" s="190">
        <f t="shared" si="4"/>
        <v>2.9251442650000001E-2</v>
      </c>
      <c r="G21" s="190">
        <f t="shared" si="4"/>
        <v>2.9130314139999999E-2</v>
      </c>
      <c r="H21" s="190">
        <f t="shared" si="4"/>
        <v>2.801472902E-2</v>
      </c>
      <c r="I21" s="190">
        <f t="shared" si="4"/>
        <v>2.811264229E-2</v>
      </c>
      <c r="J21" s="190">
        <f t="shared" si="4"/>
        <v>2.8201680430000001E-2</v>
      </c>
      <c r="K21" s="15"/>
      <c r="L21" s="15"/>
      <c r="M21" s="15"/>
    </row>
    <row r="22" spans="1:13" ht="13.8" outlineLevel="4" x14ac:dyDescent="0.3">
      <c r="A22" s="189" t="s">
        <v>21</v>
      </c>
      <c r="B22" s="190">
        <v>3.120061021E-2</v>
      </c>
      <c r="C22" s="190">
        <v>3.086529046E-2</v>
      </c>
      <c r="D22" s="190">
        <v>3.0608270789999999E-2</v>
      </c>
      <c r="E22" s="190">
        <v>2.9442798799999999E-2</v>
      </c>
      <c r="F22" s="190">
        <v>2.9251442650000001E-2</v>
      </c>
      <c r="G22" s="190">
        <v>2.9130314139999999E-2</v>
      </c>
      <c r="H22" s="190">
        <v>2.801472902E-2</v>
      </c>
      <c r="I22" s="190">
        <v>2.811264229E-2</v>
      </c>
      <c r="J22" s="190">
        <v>2.8201680430000001E-2</v>
      </c>
      <c r="K22" s="15"/>
      <c r="L22" s="15"/>
      <c r="M22" s="15"/>
    </row>
    <row r="23" spans="1:13" ht="14.4" outlineLevel="2" x14ac:dyDescent="0.3">
      <c r="A23" s="192" t="s">
        <v>22</v>
      </c>
      <c r="B23" s="193">
        <f t="shared" ref="B23:J23" si="5">B$24+B$35+B$46+B$48+B$55+B$58+B$60</f>
        <v>160.39488798235999</v>
      </c>
      <c r="C23" s="193">
        <f t="shared" si="5"/>
        <v>161.99264531832</v>
      </c>
      <c r="D23" s="193">
        <f t="shared" si="5"/>
        <v>160.41033211895999</v>
      </c>
      <c r="E23" s="193">
        <f t="shared" si="5"/>
        <v>158.90165421383</v>
      </c>
      <c r="F23" s="193">
        <f t="shared" si="5"/>
        <v>160.66469133423999</v>
      </c>
      <c r="G23" s="193">
        <f t="shared" si="5"/>
        <v>159.64934214548001</v>
      </c>
      <c r="H23" s="193">
        <f t="shared" si="5"/>
        <v>161.64165380381996</v>
      </c>
      <c r="I23" s="193">
        <f t="shared" si="5"/>
        <v>163.35035705179996</v>
      </c>
      <c r="J23" s="193">
        <f t="shared" si="5"/>
        <v>164.79535701330002</v>
      </c>
      <c r="K23" s="15"/>
      <c r="L23" s="15"/>
      <c r="M23" s="15"/>
    </row>
    <row r="24" spans="1:13" ht="13.8" outlineLevel="3" x14ac:dyDescent="0.3">
      <c r="A24" s="191" t="s">
        <v>23</v>
      </c>
      <c r="B24" s="190">
        <f t="shared" ref="B24:J24" si="6">SUM(B$25:B$34)</f>
        <v>123.4850595906</v>
      </c>
      <c r="C24" s="190">
        <f t="shared" si="6"/>
        <v>124.89167114565001</v>
      </c>
      <c r="D24" s="190">
        <f t="shared" si="6"/>
        <v>123.48686818506</v>
      </c>
      <c r="E24" s="190">
        <f t="shared" si="6"/>
        <v>122.19947853997</v>
      </c>
      <c r="F24" s="190">
        <f t="shared" si="6"/>
        <v>123.72715897765001</v>
      </c>
      <c r="G24" s="190">
        <f t="shared" si="6"/>
        <v>122.74727686130001</v>
      </c>
      <c r="H24" s="190">
        <f t="shared" si="6"/>
        <v>125.00699361792</v>
      </c>
      <c r="I24" s="190">
        <f t="shared" si="6"/>
        <v>126.59148606419998</v>
      </c>
      <c r="J24" s="190">
        <f t="shared" si="6"/>
        <v>127.84683503487001</v>
      </c>
      <c r="K24" s="15"/>
      <c r="L24" s="15"/>
      <c r="M24" s="15"/>
    </row>
    <row r="25" spans="1:13" ht="13.8" outlineLevel="4" x14ac:dyDescent="0.3">
      <c r="A25" s="189" t="s">
        <v>24</v>
      </c>
      <c r="B25" s="190">
        <v>1.1468927590000001E-2</v>
      </c>
      <c r="C25" s="190">
        <v>1.166103017E-2</v>
      </c>
      <c r="D25" s="190">
        <v>1.1514753290000001E-2</v>
      </c>
      <c r="E25" s="190">
        <v>1.0501657710000001E-2</v>
      </c>
      <c r="F25" s="190">
        <v>1.069635356E-2</v>
      </c>
      <c r="G25" s="190">
        <v>1.062232256E-2</v>
      </c>
      <c r="H25" s="190">
        <v>1.042944356E-2</v>
      </c>
      <c r="I25" s="190">
        <v>1.0487945009999999E-2</v>
      </c>
      <c r="J25" s="190">
        <v>1.0645447190000001E-2</v>
      </c>
      <c r="K25" s="15"/>
      <c r="L25" s="15"/>
      <c r="M25" s="15"/>
    </row>
    <row r="26" spans="1:13" ht="13.8" outlineLevel="4" x14ac:dyDescent="0.3">
      <c r="A26" s="189" t="s">
        <v>25</v>
      </c>
      <c r="B26" s="190">
        <v>0.53948969316999995</v>
      </c>
      <c r="C26" s="190">
        <v>0.54852605336000004</v>
      </c>
      <c r="D26" s="190">
        <v>0.54164529937999994</v>
      </c>
      <c r="E26" s="190">
        <v>0.52692271853999995</v>
      </c>
      <c r="F26" s="190">
        <v>0.53669162089</v>
      </c>
      <c r="G26" s="190">
        <v>0.56202711291999996</v>
      </c>
      <c r="H26" s="190">
        <v>0.55182188472000004</v>
      </c>
      <c r="I26" s="190">
        <v>0.55491719619000002</v>
      </c>
      <c r="J26" s="190">
        <v>0.59643974599000005</v>
      </c>
      <c r="K26" s="15"/>
      <c r="L26" s="15"/>
      <c r="M26" s="15"/>
    </row>
    <row r="27" spans="1:13" ht="13.8" outlineLevel="4" x14ac:dyDescent="0.3">
      <c r="A27" s="189" t="s">
        <v>26</v>
      </c>
      <c r="B27" s="190">
        <v>6.3044279359999997E-2</v>
      </c>
      <c r="C27" s="190">
        <v>6.4401690900000003E-2</v>
      </c>
      <c r="D27" s="190">
        <v>6.3903143329999995E-2</v>
      </c>
      <c r="E27" s="190">
        <v>6.3017184599999998E-2</v>
      </c>
      <c r="F27" s="190">
        <v>6.2880084150000001E-2</v>
      </c>
      <c r="G27" s="190">
        <v>6.3351856179999999E-2</v>
      </c>
      <c r="H27" s="190">
        <v>6.1272595899999997E-2</v>
      </c>
      <c r="I27" s="190">
        <v>6.5477238069999999E-2</v>
      </c>
      <c r="J27" s="190">
        <v>6.646053918E-2</v>
      </c>
      <c r="K27" s="15"/>
      <c r="L27" s="15"/>
      <c r="M27" s="15"/>
    </row>
    <row r="28" spans="1:13" ht="13.8" outlineLevel="4" x14ac:dyDescent="0.3">
      <c r="A28" s="189" t="s">
        <v>27</v>
      </c>
      <c r="B28" s="190">
        <v>3.3614525393500001</v>
      </c>
      <c r="C28" s="190">
        <v>3.4177562950000002</v>
      </c>
      <c r="D28" s="190">
        <v>3.3613226463900001</v>
      </c>
      <c r="E28" s="190">
        <v>3.2673921362699998</v>
      </c>
      <c r="F28" s="190">
        <v>3.3251325285200002</v>
      </c>
      <c r="G28" s="190">
        <v>3.2250691692400002</v>
      </c>
      <c r="H28" s="190">
        <v>3.1680697472900001</v>
      </c>
      <c r="I28" s="190">
        <v>3.2062792833299998</v>
      </c>
      <c r="J28" s="190">
        <v>3.2410563487599999</v>
      </c>
      <c r="K28" s="15"/>
      <c r="L28" s="15"/>
      <c r="M28" s="15"/>
    </row>
    <row r="29" spans="1:13" ht="13.8" outlineLevel="4" x14ac:dyDescent="0.3">
      <c r="A29" s="189" t="s">
        <v>28</v>
      </c>
      <c r="B29" s="190">
        <v>61.366317240180003</v>
      </c>
      <c r="C29" s="190">
        <v>62.39419256851</v>
      </c>
      <c r="D29" s="190">
        <v>61.61151490788</v>
      </c>
      <c r="E29" s="190">
        <v>59.936838675769998</v>
      </c>
      <c r="F29" s="190">
        <v>60.989534868530001</v>
      </c>
      <c r="G29" s="190">
        <v>60.567417509569999</v>
      </c>
      <c r="H29" s="190">
        <v>62.25431653303</v>
      </c>
      <c r="I29" s="190">
        <v>62.603517071070002</v>
      </c>
      <c r="J29" s="190">
        <v>63.543662208740002</v>
      </c>
      <c r="K29" s="15"/>
      <c r="L29" s="15"/>
      <c r="M29" s="15"/>
    </row>
    <row r="30" spans="1:13" ht="13.8" outlineLevel="4" x14ac:dyDescent="0.3">
      <c r="A30" s="189" t="s">
        <v>29</v>
      </c>
      <c r="B30" s="190">
        <v>21.307668778739998</v>
      </c>
      <c r="C30" s="190">
        <v>21.664568590030001</v>
      </c>
      <c r="D30" s="190">
        <v>21.3928065371</v>
      </c>
      <c r="E30" s="190">
        <v>20.811323924660002</v>
      </c>
      <c r="F30" s="190">
        <v>21.197156199769999</v>
      </c>
      <c r="G30" s="190">
        <v>20.85440715351</v>
      </c>
      <c r="H30" s="190">
        <v>20.47573505882</v>
      </c>
      <c r="I30" s="190">
        <v>20.590588744440002</v>
      </c>
      <c r="J30" s="190">
        <v>20.89980686501</v>
      </c>
      <c r="K30" s="15"/>
      <c r="L30" s="15"/>
      <c r="M30" s="15"/>
    </row>
    <row r="31" spans="1:13" ht="13.8" outlineLevel="4" x14ac:dyDescent="0.3">
      <c r="A31" s="189" t="s">
        <v>30</v>
      </c>
      <c r="B31" s="190">
        <v>6.6807060515199996</v>
      </c>
      <c r="C31" s="190">
        <v>6.6994474642200004</v>
      </c>
      <c r="D31" s="190">
        <v>6.6852582545599999</v>
      </c>
      <c r="E31" s="190">
        <v>6.6631378300400002</v>
      </c>
      <c r="F31" s="190">
        <v>6.6832849910999998</v>
      </c>
      <c r="G31" s="190">
        <v>6.6815742498199997</v>
      </c>
      <c r="H31" s="190">
        <v>6.6616150974500004</v>
      </c>
      <c r="I31" s="190">
        <v>6.6677251559400004</v>
      </c>
      <c r="J31" s="190">
        <v>6.5922608341400002</v>
      </c>
      <c r="K31" s="15"/>
      <c r="L31" s="15"/>
      <c r="M31" s="15"/>
    </row>
    <row r="32" spans="1:13" ht="13.8" outlineLevel="4" x14ac:dyDescent="0.3">
      <c r="A32" s="189" t="s">
        <v>31</v>
      </c>
      <c r="B32" s="190">
        <v>16.490269133049999</v>
      </c>
      <c r="C32" s="190">
        <v>16.4800344577</v>
      </c>
      <c r="D32" s="190">
        <v>16.36286914782</v>
      </c>
      <c r="E32" s="190">
        <v>16.312498412869999</v>
      </c>
      <c r="F32" s="190">
        <v>16.319334407039999</v>
      </c>
      <c r="G32" s="190">
        <v>16.300400910699999</v>
      </c>
      <c r="H32" s="190">
        <v>17.649142426539999</v>
      </c>
      <c r="I32" s="190">
        <v>18.127232321729998</v>
      </c>
      <c r="J32" s="190">
        <v>18.160870873170001</v>
      </c>
      <c r="K32" s="15"/>
      <c r="L32" s="15"/>
      <c r="M32" s="15"/>
    </row>
    <row r="33" spans="1:13" ht="13.8" outlineLevel="4" x14ac:dyDescent="0.3">
      <c r="A33" s="189" t="s">
        <v>32</v>
      </c>
      <c r="B33" s="190">
        <v>13.560402501</v>
      </c>
      <c r="C33" s="190">
        <v>13.509107140859999</v>
      </c>
      <c r="D33" s="190">
        <v>13.35372560203</v>
      </c>
      <c r="E33" s="190">
        <v>14.50553810623</v>
      </c>
      <c r="F33" s="190">
        <v>14.50014003081</v>
      </c>
      <c r="G33" s="190">
        <v>14.38009868352</v>
      </c>
      <c r="H33" s="190">
        <v>14.07668706149</v>
      </c>
      <c r="I33" s="190">
        <v>14.6697785893</v>
      </c>
      <c r="J33" s="190">
        <v>14.640149653570001</v>
      </c>
      <c r="K33" s="15"/>
      <c r="L33" s="15"/>
      <c r="M33" s="15"/>
    </row>
    <row r="34" spans="1:13" ht="13.8" outlineLevel="4" x14ac:dyDescent="0.3">
      <c r="A34" s="189" t="s">
        <v>33</v>
      </c>
      <c r="B34" s="190">
        <v>0.10424044664</v>
      </c>
      <c r="C34" s="190">
        <v>0.1019758549</v>
      </c>
      <c r="D34" s="190">
        <v>0.10230789328000001</v>
      </c>
      <c r="E34" s="190">
        <v>0.10230789328000001</v>
      </c>
      <c r="F34" s="190">
        <v>0.10230789328000001</v>
      </c>
      <c r="G34" s="190">
        <v>0.10230789328000001</v>
      </c>
      <c r="H34" s="190">
        <v>9.7903769119999998E-2</v>
      </c>
      <c r="I34" s="190">
        <v>9.5482519119999998E-2</v>
      </c>
      <c r="J34" s="190">
        <v>9.5482519119999998E-2</v>
      </c>
      <c r="K34" s="15"/>
      <c r="L34" s="15"/>
      <c r="M34" s="15"/>
    </row>
    <row r="35" spans="1:13" ht="13.8" outlineLevel="3" x14ac:dyDescent="0.3">
      <c r="A35" s="191" t="s">
        <v>34</v>
      </c>
      <c r="B35" s="190">
        <f t="shared" ref="B35:J35" si="7">SUM(B$36:B$45)</f>
        <v>8.090534922869999</v>
      </c>
      <c r="C35" s="190">
        <f t="shared" si="7"/>
        <v>8.2015781664999992</v>
      </c>
      <c r="D35" s="190">
        <f t="shared" si="7"/>
        <v>8.109373216969999</v>
      </c>
      <c r="E35" s="190">
        <f t="shared" si="7"/>
        <v>7.9609203969299998</v>
      </c>
      <c r="F35" s="190">
        <f t="shared" si="7"/>
        <v>8.085673697839999</v>
      </c>
      <c r="G35" s="190">
        <f t="shared" si="7"/>
        <v>8.0180352702400004</v>
      </c>
      <c r="H35" s="190">
        <f t="shared" si="7"/>
        <v>7.8591449405599993</v>
      </c>
      <c r="I35" s="190">
        <f t="shared" si="7"/>
        <v>7.9418779487999984</v>
      </c>
      <c r="J35" s="190">
        <f t="shared" si="7"/>
        <v>8.0544491854799993</v>
      </c>
      <c r="K35" s="15"/>
      <c r="L35" s="15"/>
      <c r="M35" s="15"/>
    </row>
    <row r="36" spans="1:13" ht="13.8" outlineLevel="4" x14ac:dyDescent="0.3">
      <c r="A36" s="189" t="s">
        <v>35</v>
      </c>
      <c r="B36" s="190">
        <v>2.5666994799999999E-2</v>
      </c>
      <c r="C36" s="190">
        <v>2.626031794E-2</v>
      </c>
      <c r="D36" s="190">
        <v>2.57639718E-2</v>
      </c>
      <c r="E36" s="190">
        <v>2.516496335E-2</v>
      </c>
      <c r="F36" s="190">
        <v>2.5684094840000001E-2</v>
      </c>
      <c r="G36" s="190">
        <v>2.5497745119999998E-2</v>
      </c>
      <c r="H36" s="190">
        <v>2.5163051419999999E-2</v>
      </c>
      <c r="I36" s="190">
        <v>2.5454009739999998E-2</v>
      </c>
      <c r="J36" s="190">
        <v>2.5834923379999999E-2</v>
      </c>
      <c r="K36" s="15"/>
      <c r="L36" s="15"/>
      <c r="M36" s="15"/>
    </row>
    <row r="37" spans="1:13" ht="13.8" outlineLevel="4" x14ac:dyDescent="0.3">
      <c r="A37" s="189" t="s">
        <v>36</v>
      </c>
      <c r="B37" s="190">
        <v>0.23523985675</v>
      </c>
      <c r="C37" s="190">
        <v>0.23918008416</v>
      </c>
      <c r="D37" s="190">
        <v>0.23617979036</v>
      </c>
      <c r="E37" s="190">
        <v>0.22976013516999999</v>
      </c>
      <c r="F37" s="190">
        <v>0.23401978132000001</v>
      </c>
      <c r="G37" s="190">
        <v>0.23240009669</v>
      </c>
      <c r="H37" s="190">
        <v>0.22818020058999999</v>
      </c>
      <c r="I37" s="190">
        <v>0.22946012226000001</v>
      </c>
      <c r="J37" s="190">
        <v>0.23290602798999999</v>
      </c>
      <c r="K37" s="15"/>
      <c r="L37" s="15"/>
      <c r="M37" s="15"/>
    </row>
    <row r="38" spans="1:13" ht="13.8" outlineLevel="4" x14ac:dyDescent="0.3">
      <c r="A38" s="189" t="s">
        <v>37</v>
      </c>
      <c r="B38" s="190">
        <v>5.31800980547</v>
      </c>
      <c r="C38" s="190">
        <v>5.3835577219199999</v>
      </c>
      <c r="D38" s="190">
        <v>5.3277360375100002</v>
      </c>
      <c r="E38" s="190">
        <v>5.2415877968100002</v>
      </c>
      <c r="F38" s="190">
        <v>5.3273670912700002</v>
      </c>
      <c r="G38" s="190">
        <v>5.2664473462799997</v>
      </c>
      <c r="H38" s="190">
        <v>5.1448243584000002</v>
      </c>
      <c r="I38" s="190">
        <v>5.19878395927</v>
      </c>
      <c r="J38" s="190">
        <v>5.2664139310899998</v>
      </c>
      <c r="K38" s="15"/>
      <c r="L38" s="15"/>
      <c r="M38" s="15"/>
    </row>
    <row r="39" spans="1:13" ht="13.8" outlineLevel="4" x14ac:dyDescent="0.3">
      <c r="A39" s="189" t="s">
        <v>38</v>
      </c>
      <c r="B39" s="190">
        <v>0.23523985675</v>
      </c>
      <c r="C39" s="190">
        <v>0.23918008416</v>
      </c>
      <c r="D39" s="190">
        <v>0.23617979036</v>
      </c>
      <c r="E39" s="190">
        <v>0.22976013516999999</v>
      </c>
      <c r="F39" s="190">
        <v>0.23401978132000001</v>
      </c>
      <c r="G39" s="190">
        <v>0.23240009669</v>
      </c>
      <c r="H39" s="190">
        <v>0.22818020058999999</v>
      </c>
      <c r="I39" s="190">
        <v>0.22946012226000001</v>
      </c>
      <c r="J39" s="190">
        <v>0.23290602798999999</v>
      </c>
      <c r="K39" s="15"/>
      <c r="L39" s="15"/>
      <c r="M39" s="15"/>
    </row>
    <row r="40" spans="1:13" ht="13.8" outlineLevel="4" x14ac:dyDescent="0.3">
      <c r="A40" s="189" t="s">
        <v>39</v>
      </c>
      <c r="B40" s="190">
        <v>0.66596793425</v>
      </c>
      <c r="C40" s="190">
        <v>0.67712278336999998</v>
      </c>
      <c r="D40" s="190">
        <v>0.66983757205000005</v>
      </c>
      <c r="E40" s="190">
        <v>0.65163056865000002</v>
      </c>
      <c r="F40" s="190">
        <v>0.66371149660999995</v>
      </c>
      <c r="G40" s="190">
        <v>0.65985777094999998</v>
      </c>
      <c r="H40" s="190">
        <v>0.64787614412000005</v>
      </c>
      <c r="I40" s="190">
        <v>0.65173539897999999</v>
      </c>
      <c r="J40" s="190">
        <v>0.66239069313999999</v>
      </c>
      <c r="K40" s="15"/>
      <c r="L40" s="15"/>
      <c r="M40" s="15"/>
    </row>
    <row r="41" spans="1:13" ht="13.8" outlineLevel="4" x14ac:dyDescent="0.3">
      <c r="A41" s="189" t="s">
        <v>40</v>
      </c>
      <c r="B41" s="190">
        <v>0.13180856229999999</v>
      </c>
      <c r="C41" s="190">
        <v>0.1340163332</v>
      </c>
      <c r="D41" s="190">
        <v>0.13233522177000001</v>
      </c>
      <c r="E41" s="190">
        <v>0.12846059991</v>
      </c>
      <c r="F41" s="190">
        <v>0.13520539677000001</v>
      </c>
      <c r="G41" s="190">
        <v>0.13432370031999999</v>
      </c>
      <c r="H41" s="190">
        <v>0.13758460634</v>
      </c>
      <c r="I41" s="190">
        <v>0.13935501076000001</v>
      </c>
      <c r="J41" s="190">
        <v>0.14144776754999999</v>
      </c>
      <c r="K41" s="15"/>
      <c r="L41" s="15"/>
      <c r="M41" s="15"/>
    </row>
    <row r="42" spans="1:13" ht="13.8" outlineLevel="4" x14ac:dyDescent="0.3">
      <c r="A42" s="189" t="s">
        <v>41</v>
      </c>
      <c r="B42" s="190">
        <v>0.1</v>
      </c>
      <c r="C42" s="190">
        <v>0.1</v>
      </c>
      <c r="D42" s="190">
        <v>0.1</v>
      </c>
      <c r="E42" s="190">
        <v>0.1</v>
      </c>
      <c r="F42" s="190">
        <v>0.1</v>
      </c>
      <c r="G42" s="190">
        <v>0.1</v>
      </c>
      <c r="H42" s="190">
        <v>0.1</v>
      </c>
      <c r="I42" s="190">
        <v>0.1</v>
      </c>
      <c r="J42" s="190">
        <v>0.1</v>
      </c>
      <c r="K42" s="15"/>
      <c r="L42" s="15"/>
      <c r="M42" s="15"/>
    </row>
    <row r="43" spans="1:13" ht="13.8" outlineLevel="4" x14ac:dyDescent="0.3">
      <c r="A43" s="189" t="s">
        <v>42</v>
      </c>
      <c r="B43" s="190">
        <v>5.1251526E-4</v>
      </c>
      <c r="C43" s="190">
        <v>5.1251526E-4</v>
      </c>
      <c r="D43" s="190">
        <v>5.1251526E-4</v>
      </c>
      <c r="E43" s="190">
        <v>5.1251526E-4</v>
      </c>
      <c r="F43" s="190">
        <v>5.1251526E-4</v>
      </c>
      <c r="G43" s="190">
        <v>5.1251526E-4</v>
      </c>
      <c r="H43" s="190">
        <v>5.1251526E-4</v>
      </c>
      <c r="I43" s="190">
        <v>5.1251526E-4</v>
      </c>
      <c r="J43" s="190">
        <v>5.1251526E-4</v>
      </c>
      <c r="K43" s="15"/>
      <c r="L43" s="15"/>
      <c r="M43" s="15"/>
    </row>
    <row r="44" spans="1:13" ht="13.8" outlineLevel="4" x14ac:dyDescent="0.3">
      <c r="A44" s="189" t="s">
        <v>43</v>
      </c>
      <c r="B44" s="190">
        <v>0.52289665883000003</v>
      </c>
      <c r="C44" s="190">
        <v>0.53165508851999999</v>
      </c>
      <c r="D44" s="190">
        <v>0.52637621367999998</v>
      </c>
      <c r="E44" s="190">
        <v>0.51793409026000004</v>
      </c>
      <c r="F44" s="190">
        <v>0.53081720496999996</v>
      </c>
      <c r="G44" s="190">
        <v>0.53020090140999998</v>
      </c>
      <c r="H44" s="190">
        <v>0.52268987279000001</v>
      </c>
      <c r="I44" s="190">
        <v>0.53885103228999998</v>
      </c>
      <c r="J44" s="190">
        <v>0.54694320029999999</v>
      </c>
      <c r="K44" s="15"/>
      <c r="L44" s="15"/>
      <c r="M44" s="15"/>
    </row>
    <row r="45" spans="1:13" ht="13.8" outlineLevel="4" x14ac:dyDescent="0.3">
      <c r="A45" s="189" t="s">
        <v>44</v>
      </c>
      <c r="B45" s="190">
        <v>0.85519273845999999</v>
      </c>
      <c r="C45" s="190">
        <v>0.87009323797000004</v>
      </c>
      <c r="D45" s="190">
        <v>0.85445210417999995</v>
      </c>
      <c r="E45" s="190">
        <v>0.83610959235000004</v>
      </c>
      <c r="F45" s="190">
        <v>0.83433633547999997</v>
      </c>
      <c r="G45" s="190">
        <v>0.83639509751999996</v>
      </c>
      <c r="H45" s="190">
        <v>0.82413399104999996</v>
      </c>
      <c r="I45" s="190">
        <v>0.82826577798000001</v>
      </c>
      <c r="J45" s="190">
        <v>0.84509409877999997</v>
      </c>
      <c r="K45" s="15"/>
      <c r="L45" s="15"/>
      <c r="M45" s="15"/>
    </row>
    <row r="46" spans="1:13" ht="13.8" outlineLevel="3" x14ac:dyDescent="0.3">
      <c r="A46" s="191" t="s">
        <v>45</v>
      </c>
      <c r="B46" s="190">
        <f t="shared" ref="B46:J46" si="8">SUM(B$47:B$47)</f>
        <v>0.60585586000000002</v>
      </c>
      <c r="C46" s="190">
        <f t="shared" si="8"/>
        <v>0.60585586000000002</v>
      </c>
      <c r="D46" s="190">
        <f t="shared" si="8"/>
        <v>0.60585586000000002</v>
      </c>
      <c r="E46" s="190">
        <f t="shared" si="8"/>
        <v>0.60585586000000002</v>
      </c>
      <c r="F46" s="190">
        <f t="shared" si="8"/>
        <v>0.60585586000000002</v>
      </c>
      <c r="G46" s="190">
        <f t="shared" si="8"/>
        <v>0.60585586000000002</v>
      </c>
      <c r="H46" s="190">
        <f t="shared" si="8"/>
        <v>0.60585586000000002</v>
      </c>
      <c r="I46" s="190">
        <f t="shared" si="8"/>
        <v>0.60585586000000002</v>
      </c>
      <c r="J46" s="190">
        <f t="shared" si="8"/>
        <v>0.60585586000000002</v>
      </c>
      <c r="K46" s="15"/>
      <c r="L46" s="15"/>
      <c r="M46" s="15"/>
    </row>
    <row r="47" spans="1:13" ht="13.8" outlineLevel="4" x14ac:dyDescent="0.3">
      <c r="A47" s="189" t="s">
        <v>46</v>
      </c>
      <c r="B47" s="190">
        <v>0.60585586000000002</v>
      </c>
      <c r="C47" s="190">
        <v>0.60585586000000002</v>
      </c>
      <c r="D47" s="190">
        <v>0.60585586000000002</v>
      </c>
      <c r="E47" s="190">
        <v>0.60585586000000002</v>
      </c>
      <c r="F47" s="190">
        <v>0.60585586000000002</v>
      </c>
      <c r="G47" s="190">
        <v>0.60585586000000002</v>
      </c>
      <c r="H47" s="190">
        <v>0.60585586000000002</v>
      </c>
      <c r="I47" s="190">
        <v>0.60585586000000002</v>
      </c>
      <c r="J47" s="190">
        <v>0.60585586000000002</v>
      </c>
      <c r="K47" s="15"/>
      <c r="L47" s="15"/>
      <c r="M47" s="15"/>
    </row>
    <row r="48" spans="1:13" ht="13.8" outlineLevel="3" x14ac:dyDescent="0.3">
      <c r="A48" s="191" t="s">
        <v>47</v>
      </c>
      <c r="B48" s="190">
        <f t="shared" ref="B48:J48" si="9">SUM(B$49:B$54)</f>
        <v>2.1403457080400003</v>
      </c>
      <c r="C48" s="190">
        <f t="shared" si="9"/>
        <v>2.1814142411900002</v>
      </c>
      <c r="D48" s="190">
        <f t="shared" si="9"/>
        <v>2.1185340634699998</v>
      </c>
      <c r="E48" s="190">
        <f t="shared" si="9"/>
        <v>2.1036939244599999</v>
      </c>
      <c r="F48" s="190">
        <f t="shared" si="9"/>
        <v>2.1649758605699998</v>
      </c>
      <c r="G48" s="190">
        <f t="shared" si="9"/>
        <v>2.2074487435400001</v>
      </c>
      <c r="H48" s="190">
        <f t="shared" si="9"/>
        <v>2.1388595197</v>
      </c>
      <c r="I48" s="190">
        <f t="shared" si="9"/>
        <v>2.15642997536</v>
      </c>
      <c r="J48" s="190">
        <f t="shared" si="9"/>
        <v>2.2171012581099996</v>
      </c>
      <c r="K48" s="15"/>
      <c r="L48" s="15"/>
      <c r="M48" s="15"/>
    </row>
    <row r="49" spans="1:13" ht="13.8" outlineLevel="4" x14ac:dyDescent="0.3">
      <c r="A49" s="189" t="s">
        <v>48</v>
      </c>
      <c r="B49" s="190">
        <v>0.76452953451000005</v>
      </c>
      <c r="C49" s="190">
        <v>0.77733527353999998</v>
      </c>
      <c r="D49" s="190">
        <v>0.76758431869999999</v>
      </c>
      <c r="E49" s="190">
        <v>0.74672043934999999</v>
      </c>
      <c r="F49" s="190">
        <v>0.76056428929999997</v>
      </c>
      <c r="G49" s="190">
        <v>0.75530031419999999</v>
      </c>
      <c r="H49" s="190">
        <v>0.74158565190000003</v>
      </c>
      <c r="I49" s="190">
        <v>0.74574539735000001</v>
      </c>
      <c r="J49" s="190">
        <v>0.75694459099</v>
      </c>
      <c r="K49" s="15"/>
      <c r="L49" s="15"/>
      <c r="M49" s="15"/>
    </row>
    <row r="50" spans="1:13" ht="13.8" outlineLevel="4" x14ac:dyDescent="0.3">
      <c r="A50" s="189" t="s">
        <v>49</v>
      </c>
      <c r="B50" s="190">
        <v>6.0138130000000002E-5</v>
      </c>
      <c r="C50" s="190">
        <v>6.1145430000000001E-5</v>
      </c>
      <c r="D50" s="190">
        <v>6.0378419999999999E-5</v>
      </c>
      <c r="E50" s="190">
        <v>5.8737260000000001E-5</v>
      </c>
      <c r="F50" s="190">
        <v>5.9826220000000001E-5</v>
      </c>
      <c r="G50" s="190">
        <v>5.9412159999999997E-5</v>
      </c>
      <c r="H50" s="190">
        <v>5.8333359999999997E-5</v>
      </c>
      <c r="I50" s="190">
        <v>5.8660560000000003E-5</v>
      </c>
      <c r="J50" s="190">
        <v>5.9541489999999998E-5</v>
      </c>
      <c r="K50" s="15"/>
      <c r="L50" s="15"/>
      <c r="M50" s="15"/>
    </row>
    <row r="51" spans="1:13" ht="13.8" outlineLevel="4" x14ac:dyDescent="0.3">
      <c r="A51" s="189" t="s">
        <v>50</v>
      </c>
      <c r="B51" s="190">
        <v>0.64078381520000005</v>
      </c>
      <c r="C51" s="190">
        <v>0.65552104869000005</v>
      </c>
      <c r="D51" s="190">
        <v>0.64320744254999995</v>
      </c>
      <c r="E51" s="190">
        <v>0.67899402690999999</v>
      </c>
      <c r="F51" s="190">
        <v>0.69297696543999998</v>
      </c>
      <c r="G51" s="190">
        <v>0.75257433239000004</v>
      </c>
      <c r="H51" s="190">
        <v>0.74187257993</v>
      </c>
      <c r="I51" s="190">
        <v>0.75037451482999995</v>
      </c>
      <c r="J51" s="190">
        <v>0.82491232078999999</v>
      </c>
      <c r="K51" s="15"/>
      <c r="L51" s="15"/>
      <c r="M51" s="15"/>
    </row>
    <row r="52" spans="1:13" ht="13.8" outlineLevel="4" x14ac:dyDescent="0.3">
      <c r="A52" s="189" t="s">
        <v>51</v>
      </c>
      <c r="B52" s="190">
        <v>0.17184045173000001</v>
      </c>
      <c r="C52" s="190">
        <v>0.17471874995</v>
      </c>
      <c r="D52" s="190">
        <v>0.17078591914999999</v>
      </c>
      <c r="E52" s="190">
        <v>0.15486576600999999</v>
      </c>
      <c r="F52" s="190">
        <v>0.15773690535000001</v>
      </c>
      <c r="G52" s="190">
        <v>0.14977925575000001</v>
      </c>
      <c r="H52" s="190">
        <v>0.14268652226</v>
      </c>
      <c r="I52" s="190">
        <v>0.14348688781999999</v>
      </c>
      <c r="J52" s="190">
        <v>0.13872094767000001</v>
      </c>
      <c r="K52" s="15"/>
      <c r="L52" s="15"/>
      <c r="M52" s="15"/>
    </row>
    <row r="53" spans="1:13" ht="13.8" outlineLevel="4" x14ac:dyDescent="0.3">
      <c r="A53" s="189" t="s">
        <v>52</v>
      </c>
      <c r="B53" s="190">
        <v>0.37245860745999998</v>
      </c>
      <c r="C53" s="190">
        <v>0.37869722550000001</v>
      </c>
      <c r="D53" s="190">
        <v>0.34550242778000001</v>
      </c>
      <c r="E53" s="190">
        <v>0.33611124977000001</v>
      </c>
      <c r="F53" s="190">
        <v>0.34234259617000001</v>
      </c>
      <c r="G53" s="190">
        <v>0.33997319373000001</v>
      </c>
      <c r="H53" s="190">
        <v>0.30564762076000002</v>
      </c>
      <c r="I53" s="190">
        <v>0.30736207719000003</v>
      </c>
      <c r="J53" s="190">
        <v>0.28392775829</v>
      </c>
      <c r="K53" s="15"/>
      <c r="L53" s="15"/>
      <c r="M53" s="15"/>
    </row>
    <row r="54" spans="1:13" ht="13.8" outlineLevel="4" x14ac:dyDescent="0.3">
      <c r="A54" s="189" t="s">
        <v>53</v>
      </c>
      <c r="B54" s="190">
        <v>0.19067316101000001</v>
      </c>
      <c r="C54" s="190">
        <v>0.19508079808000001</v>
      </c>
      <c r="D54" s="190">
        <v>0.19139357687</v>
      </c>
      <c r="E54" s="190">
        <v>0.18694370516</v>
      </c>
      <c r="F54" s="190">
        <v>0.21129527809000001</v>
      </c>
      <c r="G54" s="190">
        <v>0.20976223530999999</v>
      </c>
      <c r="H54" s="190">
        <v>0.20700881149</v>
      </c>
      <c r="I54" s="190">
        <v>0.20940243760999999</v>
      </c>
      <c r="J54" s="190">
        <v>0.21253609888</v>
      </c>
      <c r="K54" s="15"/>
      <c r="L54" s="15"/>
      <c r="M54" s="15"/>
    </row>
    <row r="55" spans="1:13" ht="13.8" outlineLevel="3" x14ac:dyDescent="0.3">
      <c r="A55" s="191" t="s">
        <v>54</v>
      </c>
      <c r="B55" s="190">
        <f t="shared" ref="B55:J55" si="10">SUM(B$56:B$57)</f>
        <v>18.750640004000001</v>
      </c>
      <c r="C55" s="190">
        <f t="shared" si="10"/>
        <v>18.750640004000001</v>
      </c>
      <c r="D55" s="190">
        <f t="shared" si="10"/>
        <v>18.750640004000001</v>
      </c>
      <c r="E55" s="190">
        <f t="shared" si="10"/>
        <v>18.750640004000001</v>
      </c>
      <c r="F55" s="190">
        <f t="shared" si="10"/>
        <v>18.750640004000001</v>
      </c>
      <c r="G55" s="190">
        <f t="shared" si="10"/>
        <v>18.750640004000001</v>
      </c>
      <c r="H55" s="190">
        <f t="shared" si="10"/>
        <v>18.750640004000001</v>
      </c>
      <c r="I55" s="190">
        <f t="shared" si="10"/>
        <v>18.750640004000001</v>
      </c>
      <c r="J55" s="190">
        <f t="shared" si="10"/>
        <v>18.750640004000001</v>
      </c>
      <c r="K55" s="15"/>
      <c r="L55" s="15"/>
      <c r="M55" s="15"/>
    </row>
    <row r="56" spans="1:13" ht="13.8" outlineLevel="4" x14ac:dyDescent="0.3">
      <c r="A56" s="189" t="s">
        <v>61</v>
      </c>
      <c r="B56" s="190">
        <v>15.252974684</v>
      </c>
      <c r="C56" s="190">
        <v>15.252974684</v>
      </c>
      <c r="D56" s="190">
        <v>15.252974684</v>
      </c>
      <c r="E56" s="190">
        <v>15.252974684</v>
      </c>
      <c r="F56" s="190">
        <v>15.252974684</v>
      </c>
      <c r="G56" s="190">
        <v>15.252974684</v>
      </c>
      <c r="H56" s="190">
        <v>15.252974684</v>
      </c>
      <c r="I56" s="190">
        <v>15.252974684</v>
      </c>
      <c r="J56" s="190">
        <v>15.252974684</v>
      </c>
      <c r="K56" s="15"/>
      <c r="L56" s="15"/>
      <c r="M56" s="15"/>
    </row>
    <row r="57" spans="1:13" ht="13.8" outlineLevel="4" x14ac:dyDescent="0.3">
      <c r="A57" s="189" t="s">
        <v>62</v>
      </c>
      <c r="B57" s="190">
        <v>3.4976653199999999</v>
      </c>
      <c r="C57" s="190">
        <v>3.4976653199999999</v>
      </c>
      <c r="D57" s="190">
        <v>3.4976653199999999</v>
      </c>
      <c r="E57" s="190">
        <v>3.4976653199999999</v>
      </c>
      <c r="F57" s="190">
        <v>3.4976653199999999</v>
      </c>
      <c r="G57" s="190">
        <v>3.4976653199999999</v>
      </c>
      <c r="H57" s="190">
        <v>3.4976653199999999</v>
      </c>
      <c r="I57" s="190">
        <v>3.4976653199999999</v>
      </c>
      <c r="J57" s="190">
        <v>3.4976653199999999</v>
      </c>
      <c r="K57" s="15"/>
      <c r="L57" s="15"/>
      <c r="M57" s="15"/>
    </row>
    <row r="58" spans="1:13" ht="24.75" customHeight="1" outlineLevel="3" x14ac:dyDescent="0.3">
      <c r="A58" s="191" t="s">
        <v>63</v>
      </c>
      <c r="B58" s="190">
        <f t="shared" ref="B58:J58" si="11">SUM(B$59:B$59)</f>
        <v>3</v>
      </c>
      <c r="C58" s="190">
        <f t="shared" si="11"/>
        <v>3</v>
      </c>
      <c r="D58" s="190">
        <f t="shared" si="11"/>
        <v>3</v>
      </c>
      <c r="E58" s="190">
        <f t="shared" si="11"/>
        <v>3</v>
      </c>
      <c r="F58" s="190">
        <f t="shared" si="11"/>
        <v>3</v>
      </c>
      <c r="G58" s="190">
        <f t="shared" si="11"/>
        <v>3</v>
      </c>
      <c r="H58" s="190">
        <f t="shared" si="11"/>
        <v>3</v>
      </c>
      <c r="I58" s="190">
        <f t="shared" si="11"/>
        <v>3</v>
      </c>
      <c r="J58" s="190">
        <f t="shared" si="11"/>
        <v>3</v>
      </c>
      <c r="K58" s="15"/>
      <c r="L58" s="15"/>
      <c r="M58" s="15"/>
    </row>
    <row r="59" spans="1:13" ht="13.8" outlineLevel="4" x14ac:dyDescent="0.3">
      <c r="A59" s="189" t="s">
        <v>64</v>
      </c>
      <c r="B59" s="190">
        <v>3</v>
      </c>
      <c r="C59" s="190">
        <v>3</v>
      </c>
      <c r="D59" s="190">
        <v>3</v>
      </c>
      <c r="E59" s="190">
        <v>3</v>
      </c>
      <c r="F59" s="190">
        <v>3</v>
      </c>
      <c r="G59" s="190">
        <v>3</v>
      </c>
      <c r="H59" s="190">
        <v>3</v>
      </c>
      <c r="I59" s="190">
        <v>3</v>
      </c>
      <c r="J59" s="190">
        <v>3</v>
      </c>
      <c r="K59" s="15"/>
      <c r="L59" s="15"/>
      <c r="M59" s="15"/>
    </row>
    <row r="60" spans="1:13" ht="13.8" outlineLevel="3" x14ac:dyDescent="0.3">
      <c r="A60" s="191" t="s">
        <v>65</v>
      </c>
      <c r="B60" s="190">
        <f t="shared" ref="B60:J60" si="12">SUM(B$61:B$61)</f>
        <v>4.3224518968499996</v>
      </c>
      <c r="C60" s="190">
        <f t="shared" si="12"/>
        <v>4.36148590098</v>
      </c>
      <c r="D60" s="190">
        <f t="shared" si="12"/>
        <v>4.3390607894600004</v>
      </c>
      <c r="E60" s="190">
        <f t="shared" si="12"/>
        <v>4.2810654884700003</v>
      </c>
      <c r="F60" s="190">
        <f t="shared" si="12"/>
        <v>4.3303869341799999</v>
      </c>
      <c r="G60" s="190">
        <f t="shared" si="12"/>
        <v>4.3200854063999996</v>
      </c>
      <c r="H60" s="190">
        <f t="shared" si="12"/>
        <v>4.2801598616399996</v>
      </c>
      <c r="I60" s="190">
        <f t="shared" si="12"/>
        <v>4.3040671994400004</v>
      </c>
      <c r="J60" s="190">
        <f t="shared" si="12"/>
        <v>4.3204756708399996</v>
      </c>
      <c r="K60" s="15"/>
      <c r="L60" s="15"/>
      <c r="M60" s="15"/>
    </row>
    <row r="61" spans="1:13" ht="13.8" outlineLevel="4" x14ac:dyDescent="0.3">
      <c r="A61" s="189" t="s">
        <v>32</v>
      </c>
      <c r="B61" s="190">
        <v>4.3224518968499996</v>
      </c>
      <c r="C61" s="190">
        <v>4.36148590098</v>
      </c>
      <c r="D61" s="190">
        <v>4.3390607894600004</v>
      </c>
      <c r="E61" s="190">
        <v>4.2810654884700003</v>
      </c>
      <c r="F61" s="190">
        <v>4.3303869341799999</v>
      </c>
      <c r="G61" s="190">
        <v>4.3200854063999996</v>
      </c>
      <c r="H61" s="190">
        <v>4.2801598616399996</v>
      </c>
      <c r="I61" s="190">
        <v>4.3040671994400004</v>
      </c>
      <c r="J61" s="190">
        <v>4.3204756708399996</v>
      </c>
      <c r="K61" s="15"/>
      <c r="L61" s="15"/>
      <c r="M61" s="15"/>
    </row>
    <row r="62" spans="1:13" ht="14.4" outlineLevel="1" x14ac:dyDescent="0.3">
      <c r="A62" s="194" t="s">
        <v>2</v>
      </c>
      <c r="B62" s="195">
        <f t="shared" ref="B62:J62" si="13">B$63+B$77</f>
        <v>6.5274206810599997</v>
      </c>
      <c r="C62" s="195">
        <f t="shared" si="13"/>
        <v>6.5076372975100014</v>
      </c>
      <c r="D62" s="195">
        <f t="shared" si="13"/>
        <v>6.2615755230399994</v>
      </c>
      <c r="E62" s="195">
        <f t="shared" si="13"/>
        <v>5.935804022420001</v>
      </c>
      <c r="F62" s="195">
        <f t="shared" si="13"/>
        <v>5.8835964844199999</v>
      </c>
      <c r="G62" s="195">
        <f t="shared" si="13"/>
        <v>5.8974371114800004</v>
      </c>
      <c r="H62" s="195">
        <f t="shared" si="13"/>
        <v>5.8438270515199999</v>
      </c>
      <c r="I62" s="195">
        <f t="shared" si="13"/>
        <v>5.8391008909400002</v>
      </c>
      <c r="J62" s="195">
        <f t="shared" si="13"/>
        <v>5.7869695863799997</v>
      </c>
      <c r="K62" s="15"/>
      <c r="L62" s="15"/>
      <c r="M62" s="15"/>
    </row>
    <row r="63" spans="1:13" ht="14.4" outlineLevel="2" x14ac:dyDescent="0.3">
      <c r="A63" s="192" t="s">
        <v>3</v>
      </c>
      <c r="B63" s="193">
        <f t="shared" ref="B63:J63" si="14">B$64+B$67+B$75</f>
        <v>1.5168140162499999</v>
      </c>
      <c r="C63" s="193">
        <f t="shared" si="14"/>
        <v>1.4638699804199997</v>
      </c>
      <c r="D63" s="193">
        <f t="shared" si="14"/>
        <v>1.4507665112499999</v>
      </c>
      <c r="E63" s="193">
        <f t="shared" si="14"/>
        <v>1.44240264408</v>
      </c>
      <c r="F63" s="193">
        <f t="shared" si="14"/>
        <v>1.4657464165099998</v>
      </c>
      <c r="G63" s="193">
        <f t="shared" si="14"/>
        <v>1.46217410847</v>
      </c>
      <c r="H63" s="193">
        <f t="shared" si="14"/>
        <v>1.4423002562799998</v>
      </c>
      <c r="I63" s="193">
        <f t="shared" si="14"/>
        <v>1.42261065024</v>
      </c>
      <c r="J63" s="193">
        <f t="shared" si="14"/>
        <v>1.3874904941999999</v>
      </c>
      <c r="K63" s="15"/>
      <c r="L63" s="15"/>
      <c r="M63" s="15"/>
    </row>
    <row r="64" spans="1:13" ht="13.8" outlineLevel="3" x14ac:dyDescent="0.3">
      <c r="A64" s="191" t="s">
        <v>4</v>
      </c>
      <c r="B64" s="190">
        <f t="shared" ref="B64:J64" si="15">SUM(B$65:B$66)</f>
        <v>5.8389715910000001E-2</v>
      </c>
      <c r="C64" s="190">
        <f t="shared" si="15"/>
        <v>5.776218893E-2</v>
      </c>
      <c r="D64" s="190">
        <f t="shared" si="15"/>
        <v>5.7281194970000004E-2</v>
      </c>
      <c r="E64" s="190">
        <f t="shared" si="15"/>
        <v>5.6512920280000004E-2</v>
      </c>
      <c r="F64" s="190">
        <f t="shared" si="15"/>
        <v>5.6145628609999998E-2</v>
      </c>
      <c r="G64" s="190">
        <f t="shared" si="15"/>
        <v>5.591313287E-2</v>
      </c>
      <c r="H64" s="190">
        <f t="shared" si="15"/>
        <v>5.5186912169999998E-2</v>
      </c>
      <c r="I64" s="190">
        <f t="shared" si="15"/>
        <v>5.5379793970000001E-2</v>
      </c>
      <c r="J64" s="190">
        <f t="shared" si="15"/>
        <v>5.5555192419999996E-2</v>
      </c>
      <c r="K64" s="15"/>
      <c r="L64" s="15"/>
      <c r="M64" s="15"/>
    </row>
    <row r="65" spans="1:13" ht="13.8" outlineLevel="4" x14ac:dyDescent="0.3">
      <c r="A65" s="189" t="s">
        <v>66</v>
      </c>
      <c r="B65" s="190">
        <v>2.7365999999999998E-7</v>
      </c>
      <c r="C65" s="190">
        <v>2.7071999999999998E-7</v>
      </c>
      <c r="D65" s="190">
        <v>2.6847000000000002E-7</v>
      </c>
      <c r="E65" s="190">
        <v>2.6487000000000002E-7</v>
      </c>
      <c r="F65" s="190">
        <v>2.6315000000000002E-7</v>
      </c>
      <c r="G65" s="190">
        <v>2.6206000000000001E-7</v>
      </c>
      <c r="H65" s="190">
        <v>2.5865E-7</v>
      </c>
      <c r="I65" s="190">
        <v>2.5955999999999998E-7</v>
      </c>
      <c r="J65" s="190">
        <v>2.6038000000000001E-7</v>
      </c>
      <c r="K65" s="15"/>
      <c r="L65" s="15"/>
      <c r="M65" s="15"/>
    </row>
    <row r="66" spans="1:13" ht="13.8" outlineLevel="4" x14ac:dyDescent="0.3">
      <c r="A66" s="189" t="s">
        <v>67</v>
      </c>
      <c r="B66" s="190">
        <v>5.838944225E-2</v>
      </c>
      <c r="C66" s="190">
        <v>5.7761918209999999E-2</v>
      </c>
      <c r="D66" s="190">
        <v>5.7280926500000003E-2</v>
      </c>
      <c r="E66" s="190">
        <v>5.6512655410000001E-2</v>
      </c>
      <c r="F66" s="190">
        <v>5.6145365459999999E-2</v>
      </c>
      <c r="G66" s="190">
        <v>5.5912870810000001E-2</v>
      </c>
      <c r="H66" s="190">
        <v>5.5186653519999997E-2</v>
      </c>
      <c r="I66" s="190">
        <v>5.537953441E-2</v>
      </c>
      <c r="J66" s="190">
        <v>5.5554932039999998E-2</v>
      </c>
      <c r="K66" s="15"/>
      <c r="L66" s="15"/>
      <c r="M66" s="15"/>
    </row>
    <row r="67" spans="1:13" ht="13.8" outlineLevel="3" x14ac:dyDescent="0.3">
      <c r="A67" s="191" t="s">
        <v>20</v>
      </c>
      <c r="B67" s="190">
        <f t="shared" ref="B67:J67" si="16">SUM(B$68:B$74)</f>
        <v>1.4584017785299999</v>
      </c>
      <c r="C67" s="190">
        <f t="shared" si="16"/>
        <v>1.4060855117299997</v>
      </c>
      <c r="D67" s="190">
        <f t="shared" si="16"/>
        <v>1.3934632220399998</v>
      </c>
      <c r="E67" s="190">
        <f t="shared" si="16"/>
        <v>1.3858679259</v>
      </c>
      <c r="F67" s="190">
        <f t="shared" si="16"/>
        <v>1.4095791316699999</v>
      </c>
      <c r="G67" s="190">
        <f t="shared" si="16"/>
        <v>1.4062394090499999</v>
      </c>
      <c r="H67" s="190">
        <f t="shared" si="16"/>
        <v>1.3870920576699999</v>
      </c>
      <c r="I67" s="190">
        <f t="shared" si="16"/>
        <v>1.36720949543</v>
      </c>
      <c r="J67" s="190">
        <f t="shared" si="16"/>
        <v>1.33191387329</v>
      </c>
      <c r="K67" s="15"/>
      <c r="L67" s="15"/>
      <c r="M67" s="15"/>
    </row>
    <row r="68" spans="1:13" ht="13.8" outlineLevel="4" x14ac:dyDescent="0.3">
      <c r="A68" s="189" t="s">
        <v>72</v>
      </c>
      <c r="B68" s="190">
        <v>3.5912473979999998E-2</v>
      </c>
      <c r="C68" s="190">
        <v>3.3824373990000003E-2</v>
      </c>
      <c r="D68" s="190">
        <v>3.2318494009999997E-2</v>
      </c>
      <c r="E68" s="190">
        <v>3.3249547009999998E-2</v>
      </c>
      <c r="F68" s="190">
        <v>3.382475075E-2</v>
      </c>
      <c r="G68" s="190">
        <v>3.4404534289999997E-2</v>
      </c>
      <c r="H68" s="190">
        <v>3.2143400670000002E-2</v>
      </c>
      <c r="I68" s="190">
        <v>3.1392218520000001E-2</v>
      </c>
      <c r="J68" s="190">
        <v>3.101228415E-2</v>
      </c>
      <c r="K68" s="15"/>
      <c r="L68" s="15"/>
      <c r="M68" s="15"/>
    </row>
    <row r="69" spans="1:13" ht="13.8" outlineLevel="4" x14ac:dyDescent="0.3">
      <c r="A69" s="189" t="s">
        <v>73</v>
      </c>
      <c r="B69" s="190">
        <v>2.8888889199999998E-3</v>
      </c>
      <c r="C69" s="190">
        <v>2.5277778099999999E-3</v>
      </c>
      <c r="D69" s="190">
        <v>2.1666667000000001E-3</v>
      </c>
      <c r="E69" s="190">
        <v>1.8055555899999999E-3</v>
      </c>
      <c r="F69" s="190">
        <v>1.4444444800000001E-3</v>
      </c>
      <c r="G69" s="190">
        <v>1.0833333699999999E-3</v>
      </c>
      <c r="H69" s="190">
        <v>7.2222225999999995E-4</v>
      </c>
      <c r="I69" s="190">
        <v>3.6111115E-4</v>
      </c>
      <c r="J69" s="190">
        <v>0</v>
      </c>
      <c r="K69" s="15"/>
      <c r="L69" s="15"/>
      <c r="M69" s="15"/>
    </row>
    <row r="70" spans="1:13" ht="13.8" outlineLevel="4" x14ac:dyDescent="0.3">
      <c r="A70" s="189" t="s">
        <v>74</v>
      </c>
      <c r="B70" s="190">
        <v>0.24133749275999999</v>
      </c>
      <c r="C70" s="190">
        <v>0.23579097978999999</v>
      </c>
      <c r="D70" s="190">
        <v>0.23570700164</v>
      </c>
      <c r="E70" s="190">
        <v>0.22778947292999999</v>
      </c>
      <c r="F70" s="190">
        <v>0.21081257541000001</v>
      </c>
      <c r="G70" s="190">
        <v>0.20224950124999999</v>
      </c>
      <c r="H70" s="190">
        <v>0.18870071418000001</v>
      </c>
      <c r="I70" s="190">
        <v>0.17798371894000001</v>
      </c>
      <c r="J70" s="190">
        <v>0.1731396395</v>
      </c>
      <c r="K70" s="15"/>
      <c r="L70" s="15"/>
      <c r="M70" s="15"/>
    </row>
    <row r="71" spans="1:13" ht="13.8" outlineLevel="4" x14ac:dyDescent="0.3">
      <c r="A71" s="189" t="s">
        <v>75</v>
      </c>
      <c r="B71" s="190">
        <v>0.34992654138000001</v>
      </c>
      <c r="C71" s="190">
        <v>0.33515903943000003</v>
      </c>
      <c r="D71" s="190">
        <v>0.32679065194000001</v>
      </c>
      <c r="E71" s="190">
        <v>0.32106939575999999</v>
      </c>
      <c r="F71" s="190">
        <v>0.32196922232000003</v>
      </c>
      <c r="G71" s="190">
        <v>0.31699548399999999</v>
      </c>
      <c r="H71" s="190">
        <v>0.31029698072</v>
      </c>
      <c r="I71" s="190">
        <v>0.31384964443000002</v>
      </c>
      <c r="J71" s="190">
        <v>0.30448624317</v>
      </c>
      <c r="K71" s="15"/>
      <c r="L71" s="15"/>
      <c r="M71" s="15"/>
    </row>
    <row r="72" spans="1:13" ht="13.8" outlineLevel="4" x14ac:dyDescent="0.3">
      <c r="A72" s="189" t="s">
        <v>76</v>
      </c>
      <c r="B72" s="190">
        <v>2.2222221600000001E-3</v>
      </c>
      <c r="C72" s="190">
        <v>1.94444438E-3</v>
      </c>
      <c r="D72" s="190">
        <v>1.6666666E-3</v>
      </c>
      <c r="E72" s="190">
        <v>1.38888882E-3</v>
      </c>
      <c r="F72" s="190">
        <v>1.11111104E-3</v>
      </c>
      <c r="G72" s="190">
        <v>8.3333325999999995E-4</v>
      </c>
      <c r="H72" s="190">
        <v>5.5555548000000004E-4</v>
      </c>
      <c r="I72" s="190">
        <v>2.7777770000000002E-4</v>
      </c>
      <c r="J72" s="190">
        <v>0</v>
      </c>
      <c r="K72" s="15"/>
      <c r="L72" s="15"/>
      <c r="M72" s="15"/>
    </row>
    <row r="73" spans="1:13" ht="13.8" outlineLevel="4" x14ac:dyDescent="0.3">
      <c r="A73" s="189" t="s">
        <v>77</v>
      </c>
      <c r="B73" s="190">
        <v>3.1111110799999999E-3</v>
      </c>
      <c r="C73" s="190">
        <v>2.7222221899999999E-3</v>
      </c>
      <c r="D73" s="190">
        <v>2.3333333E-3</v>
      </c>
      <c r="E73" s="190">
        <v>1.9444444099999999E-3</v>
      </c>
      <c r="F73" s="190">
        <v>1.55555552E-3</v>
      </c>
      <c r="G73" s="190">
        <v>1.1666666300000001E-3</v>
      </c>
      <c r="H73" s="190">
        <v>7.7777773999999997E-4</v>
      </c>
      <c r="I73" s="190">
        <v>3.8888885000000001E-4</v>
      </c>
      <c r="J73" s="190">
        <v>0</v>
      </c>
      <c r="K73" s="15"/>
      <c r="L73" s="15"/>
      <c r="M73" s="15"/>
    </row>
    <row r="74" spans="1:13" ht="13.8" outlineLevel="4" x14ac:dyDescent="0.3">
      <c r="A74" s="189" t="s">
        <v>78</v>
      </c>
      <c r="B74" s="190">
        <v>0.82300304825000004</v>
      </c>
      <c r="C74" s="190">
        <v>0.79411667413999998</v>
      </c>
      <c r="D74" s="190">
        <v>0.79248040784999996</v>
      </c>
      <c r="E74" s="190">
        <v>0.79862062138000001</v>
      </c>
      <c r="F74" s="190">
        <v>0.83886147214999995</v>
      </c>
      <c r="G74" s="190">
        <v>0.84950655625000004</v>
      </c>
      <c r="H74" s="190">
        <v>0.85389540661999996</v>
      </c>
      <c r="I74" s="190">
        <v>0.84295613583999995</v>
      </c>
      <c r="J74" s="190">
        <v>0.82327570647000003</v>
      </c>
      <c r="K74" s="15"/>
      <c r="L74" s="15"/>
      <c r="M74" s="15"/>
    </row>
    <row r="75" spans="1:13" ht="13.8" outlineLevel="3" x14ac:dyDescent="0.3">
      <c r="A75" s="191" t="s">
        <v>79</v>
      </c>
      <c r="B75" s="190">
        <f t="shared" ref="B75:J75" si="17">SUM(B$76:B$76)</f>
        <v>2.2521809999999999E-5</v>
      </c>
      <c r="C75" s="190">
        <f t="shared" si="17"/>
        <v>2.227976E-5</v>
      </c>
      <c r="D75" s="190">
        <f t="shared" si="17"/>
        <v>2.2094239999999999E-5</v>
      </c>
      <c r="E75" s="190">
        <f t="shared" si="17"/>
        <v>2.17979E-5</v>
      </c>
      <c r="F75" s="190">
        <f t="shared" si="17"/>
        <v>2.165623E-5</v>
      </c>
      <c r="G75" s="190">
        <f t="shared" si="17"/>
        <v>2.1566550000000001E-5</v>
      </c>
      <c r="H75" s="190">
        <f t="shared" si="17"/>
        <v>2.1286439999999999E-5</v>
      </c>
      <c r="I75" s="190">
        <f t="shared" si="17"/>
        <v>2.136084E-5</v>
      </c>
      <c r="J75" s="190">
        <f t="shared" si="17"/>
        <v>2.1428489999999999E-5</v>
      </c>
      <c r="K75" s="15"/>
      <c r="L75" s="15"/>
      <c r="M75" s="15"/>
    </row>
    <row r="76" spans="1:13" ht="13.8" outlineLevel="4" x14ac:dyDescent="0.3">
      <c r="A76" s="189" t="s">
        <v>80</v>
      </c>
      <c r="B76" s="190">
        <v>2.2521809999999999E-5</v>
      </c>
      <c r="C76" s="190">
        <v>2.227976E-5</v>
      </c>
      <c r="D76" s="190">
        <v>2.2094239999999999E-5</v>
      </c>
      <c r="E76" s="190">
        <v>2.17979E-5</v>
      </c>
      <c r="F76" s="190">
        <v>2.165623E-5</v>
      </c>
      <c r="G76" s="190">
        <v>2.1566550000000001E-5</v>
      </c>
      <c r="H76" s="190">
        <v>2.1286439999999999E-5</v>
      </c>
      <c r="I76" s="190">
        <v>2.136084E-5</v>
      </c>
      <c r="J76" s="190">
        <v>2.1428489999999999E-5</v>
      </c>
      <c r="K76" s="15"/>
      <c r="L76" s="15"/>
      <c r="M76" s="15"/>
    </row>
    <row r="77" spans="1:13" ht="14.4" outlineLevel="2" x14ac:dyDescent="0.3">
      <c r="A77" s="192" t="s">
        <v>22</v>
      </c>
      <c r="B77" s="193">
        <f t="shared" ref="B77:J77" si="18">B$78+B$85+B$88+B$90+B$92</f>
        <v>5.0106066648100001</v>
      </c>
      <c r="C77" s="193">
        <f t="shared" si="18"/>
        <v>5.0437673170900013</v>
      </c>
      <c r="D77" s="193">
        <f t="shared" si="18"/>
        <v>4.81080901179</v>
      </c>
      <c r="E77" s="193">
        <f t="shared" si="18"/>
        <v>4.4934013783400006</v>
      </c>
      <c r="F77" s="193">
        <f t="shared" si="18"/>
        <v>4.4178500679099999</v>
      </c>
      <c r="G77" s="193">
        <f t="shared" si="18"/>
        <v>4.4352630030100002</v>
      </c>
      <c r="H77" s="193">
        <f t="shared" si="18"/>
        <v>4.4015267952399997</v>
      </c>
      <c r="I77" s="193">
        <f t="shared" si="18"/>
        <v>4.4164902407</v>
      </c>
      <c r="J77" s="193">
        <f t="shared" si="18"/>
        <v>4.39947909218</v>
      </c>
      <c r="K77" s="15"/>
      <c r="L77" s="15"/>
      <c r="M77" s="15"/>
    </row>
    <row r="78" spans="1:13" ht="13.8" outlineLevel="3" x14ac:dyDescent="0.3">
      <c r="A78" s="191" t="s">
        <v>23</v>
      </c>
      <c r="B78" s="190">
        <f t="shared" ref="B78:J78" si="19">SUM(B$79:B$84)</f>
        <v>3.0446349742200001</v>
      </c>
      <c r="C78" s="190">
        <f t="shared" si="19"/>
        <v>3.0798496101800006</v>
      </c>
      <c r="D78" s="190">
        <f t="shared" si="19"/>
        <v>2.8479411351600001</v>
      </c>
      <c r="E78" s="190">
        <f t="shared" si="19"/>
        <v>2.5330381701300002</v>
      </c>
      <c r="F78" s="190">
        <f t="shared" si="19"/>
        <v>2.4555452232499997</v>
      </c>
      <c r="G78" s="190">
        <f t="shared" si="19"/>
        <v>2.4771583376099997</v>
      </c>
      <c r="H78" s="190">
        <f t="shared" si="19"/>
        <v>2.4451150711299996</v>
      </c>
      <c r="I78" s="190">
        <f t="shared" si="19"/>
        <v>2.4629406085299999</v>
      </c>
      <c r="J78" s="190">
        <f t="shared" si="19"/>
        <v>2.4449649041699999</v>
      </c>
      <c r="K78" s="15"/>
      <c r="L78" s="15"/>
      <c r="M78" s="15"/>
    </row>
    <row r="79" spans="1:13" ht="13.8" outlineLevel="4" x14ac:dyDescent="0.3">
      <c r="A79" s="189" t="s">
        <v>81</v>
      </c>
      <c r="B79" s="190">
        <v>0.35285978512999999</v>
      </c>
      <c r="C79" s="190">
        <v>0.35877012623999999</v>
      </c>
      <c r="D79" s="190">
        <v>0.35426968554999999</v>
      </c>
      <c r="E79" s="190">
        <v>0.34464020276000001</v>
      </c>
      <c r="F79" s="190">
        <v>0.35102967197000001</v>
      </c>
      <c r="G79" s="190">
        <v>0.34860014502999997</v>
      </c>
      <c r="H79" s="190">
        <v>0.34227030087999999</v>
      </c>
      <c r="I79" s="190">
        <v>0.34419018339000002</v>
      </c>
      <c r="J79" s="190">
        <v>0.34935904199000001</v>
      </c>
      <c r="K79" s="15"/>
      <c r="L79" s="15"/>
      <c r="M79" s="15"/>
    </row>
    <row r="80" spans="1:13" ht="13.8" outlineLevel="4" x14ac:dyDescent="0.3">
      <c r="A80" s="189" t="s">
        <v>26</v>
      </c>
      <c r="B80" s="190">
        <v>1.5755458677600001</v>
      </c>
      <c r="C80" s="190">
        <v>1.59897825201</v>
      </c>
      <c r="D80" s="190">
        <v>1.37938754559</v>
      </c>
      <c r="E80" s="190">
        <v>1.1599847480300001</v>
      </c>
      <c r="F80" s="190">
        <v>1.1637081298</v>
      </c>
      <c r="G80" s="190">
        <v>1.18954108938</v>
      </c>
      <c r="H80" s="190">
        <v>1.1690108717800001</v>
      </c>
      <c r="I80" s="190">
        <v>1.1738999021600001</v>
      </c>
      <c r="J80" s="190">
        <v>1.14285080928</v>
      </c>
      <c r="K80" s="15"/>
      <c r="L80" s="15"/>
      <c r="M80" s="15"/>
    </row>
    <row r="81" spans="1:13" ht="13.8" outlineLevel="4" x14ac:dyDescent="0.3">
      <c r="A81" s="189" t="s">
        <v>27</v>
      </c>
      <c r="B81" s="190">
        <v>0.21325653736</v>
      </c>
      <c r="C81" s="190">
        <v>0.21518213923000001</v>
      </c>
      <c r="D81" s="190">
        <v>0.21248287754</v>
      </c>
      <c r="E81" s="190">
        <v>0.20420994062</v>
      </c>
      <c r="F81" s="190">
        <v>0.20799589801999999</v>
      </c>
      <c r="G81" s="190">
        <v>0.20655632844999999</v>
      </c>
      <c r="H81" s="190">
        <v>0.20280570072000001</v>
      </c>
      <c r="I81" s="190">
        <v>0.20236378944</v>
      </c>
      <c r="J81" s="190">
        <v>0.20540277737000001</v>
      </c>
      <c r="K81" s="15"/>
      <c r="L81" s="15"/>
      <c r="M81" s="15"/>
    </row>
    <row r="82" spans="1:13" ht="13.8" outlineLevel="4" x14ac:dyDescent="0.3">
      <c r="A82" s="189" t="s">
        <v>31</v>
      </c>
      <c r="B82" s="190">
        <v>0.48725957650000001</v>
      </c>
      <c r="C82" s="190">
        <v>0.48746026481999999</v>
      </c>
      <c r="D82" s="190">
        <v>0.48443510483000002</v>
      </c>
      <c r="E82" s="190">
        <v>0.49334617572</v>
      </c>
      <c r="F82" s="190">
        <v>0.48204209587000002</v>
      </c>
      <c r="G82" s="190">
        <v>0.48228543075000002</v>
      </c>
      <c r="H82" s="190">
        <v>0.48315533853999998</v>
      </c>
      <c r="I82" s="190">
        <v>0.49323515095999998</v>
      </c>
      <c r="J82" s="190">
        <v>0.49715442519000003</v>
      </c>
      <c r="K82" s="15"/>
      <c r="L82" s="15"/>
      <c r="M82" s="15"/>
    </row>
    <row r="83" spans="1:13" ht="13.8" outlineLevel="4" x14ac:dyDescent="0.3">
      <c r="A83" s="189" t="s">
        <v>32</v>
      </c>
      <c r="B83" s="190">
        <v>0.41477333446999998</v>
      </c>
      <c r="C83" s="190">
        <v>0.41851895488000002</v>
      </c>
      <c r="D83" s="190">
        <v>0.41636708864999999</v>
      </c>
      <c r="E83" s="190">
        <v>0.32985827000000001</v>
      </c>
      <c r="F83" s="190">
        <v>0.24973109575999999</v>
      </c>
      <c r="G83" s="190">
        <v>0.24913701217000001</v>
      </c>
      <c r="H83" s="190">
        <v>0.24683452738</v>
      </c>
      <c r="I83" s="190">
        <v>0.24821325075</v>
      </c>
      <c r="J83" s="190">
        <v>0.24915951851000001</v>
      </c>
      <c r="K83" s="15"/>
      <c r="L83" s="15"/>
      <c r="M83" s="15"/>
    </row>
    <row r="84" spans="1:13" ht="13.8" outlineLevel="4" x14ac:dyDescent="0.3">
      <c r="A84" s="189" t="s">
        <v>33</v>
      </c>
      <c r="B84" s="190">
        <v>9.3987300000000003E-4</v>
      </c>
      <c r="C84" s="190">
        <v>9.3987300000000003E-4</v>
      </c>
      <c r="D84" s="190">
        <v>9.9883299999999997E-4</v>
      </c>
      <c r="E84" s="190">
        <v>9.9883299999999997E-4</v>
      </c>
      <c r="F84" s="190">
        <v>1.0383318299999999E-3</v>
      </c>
      <c r="G84" s="190">
        <v>1.0383318299999999E-3</v>
      </c>
      <c r="H84" s="190">
        <v>1.0383318299999999E-3</v>
      </c>
      <c r="I84" s="190">
        <v>1.0383318299999999E-3</v>
      </c>
      <c r="J84" s="190">
        <v>1.0383318299999999E-3</v>
      </c>
      <c r="K84" s="15"/>
      <c r="L84" s="15"/>
      <c r="M84" s="15"/>
    </row>
    <row r="85" spans="1:13" ht="13.8" outlineLevel="3" x14ac:dyDescent="0.3">
      <c r="A85" s="191" t="s">
        <v>82</v>
      </c>
      <c r="B85" s="190">
        <f t="shared" ref="B85:J85" si="20">SUM(B$86:B$87)</f>
        <v>0.86194240820000001</v>
      </c>
      <c r="C85" s="190">
        <f t="shared" si="20"/>
        <v>0.86256118722999997</v>
      </c>
      <c r="D85" s="190">
        <f t="shared" si="20"/>
        <v>0.86209001673999996</v>
      </c>
      <c r="E85" s="190">
        <f t="shared" si="20"/>
        <v>0.86108186477999993</v>
      </c>
      <c r="F85" s="190">
        <f t="shared" si="20"/>
        <v>0.86175080578999996</v>
      </c>
      <c r="G85" s="190">
        <f t="shared" si="20"/>
        <v>0.86149644815999993</v>
      </c>
      <c r="H85" s="190">
        <f t="shared" si="20"/>
        <v>0.86083374955999992</v>
      </c>
      <c r="I85" s="190">
        <f t="shared" si="20"/>
        <v>0.86103475031999999</v>
      </c>
      <c r="J85" s="190">
        <f t="shared" si="20"/>
        <v>0.86157590034999998</v>
      </c>
      <c r="K85" s="15"/>
      <c r="L85" s="15"/>
      <c r="M85" s="15"/>
    </row>
    <row r="86" spans="1:13" ht="13.8" outlineLevel="4" x14ac:dyDescent="0.3">
      <c r="A86" s="189" t="s">
        <v>83</v>
      </c>
      <c r="B86" s="190">
        <v>0.82499999999999996</v>
      </c>
      <c r="C86" s="190">
        <v>0.82499999999999996</v>
      </c>
      <c r="D86" s="190">
        <v>0.82499999999999996</v>
      </c>
      <c r="E86" s="190">
        <v>0.82499999999999996</v>
      </c>
      <c r="F86" s="190">
        <v>0.82499999999999996</v>
      </c>
      <c r="G86" s="190">
        <v>0.82499999999999996</v>
      </c>
      <c r="H86" s="190">
        <v>0.82499999999999996</v>
      </c>
      <c r="I86" s="190">
        <v>0.82499999999999996</v>
      </c>
      <c r="J86" s="190">
        <v>0.82499999999999996</v>
      </c>
      <c r="K86" s="15"/>
      <c r="L86" s="15"/>
      <c r="M86" s="15"/>
    </row>
    <row r="87" spans="1:13" ht="13.8" outlineLevel="4" x14ac:dyDescent="0.3">
      <c r="A87" s="189" t="s">
        <v>39</v>
      </c>
      <c r="B87" s="190">
        <v>3.6942408199999999E-2</v>
      </c>
      <c r="C87" s="190">
        <v>3.7561187230000001E-2</v>
      </c>
      <c r="D87" s="190">
        <v>3.7090016740000002E-2</v>
      </c>
      <c r="E87" s="190">
        <v>3.608186478E-2</v>
      </c>
      <c r="F87" s="190">
        <v>3.675080579E-2</v>
      </c>
      <c r="G87" s="190">
        <v>3.649644816E-2</v>
      </c>
      <c r="H87" s="190">
        <v>3.5833749560000003E-2</v>
      </c>
      <c r="I87" s="190">
        <v>3.6034750320000003E-2</v>
      </c>
      <c r="J87" s="190">
        <v>3.6575900350000003E-2</v>
      </c>
      <c r="K87" s="15"/>
      <c r="L87" s="15"/>
      <c r="M87" s="15"/>
    </row>
    <row r="88" spans="1:13" ht="13.8" outlineLevel="3" x14ac:dyDescent="0.3">
      <c r="A88" s="191" t="s">
        <v>47</v>
      </c>
      <c r="B88" s="190">
        <f t="shared" ref="B88:J88" si="21">SUM(B$89:B$89)</f>
        <v>0.16749230805000001</v>
      </c>
      <c r="C88" s="190">
        <f t="shared" si="21"/>
        <v>0.16381230804999999</v>
      </c>
      <c r="D88" s="190">
        <f t="shared" si="21"/>
        <v>0.16381230804999999</v>
      </c>
      <c r="E88" s="190">
        <f t="shared" si="21"/>
        <v>0.16381230804999999</v>
      </c>
      <c r="F88" s="190">
        <f t="shared" si="21"/>
        <v>0.16381230804999999</v>
      </c>
      <c r="G88" s="190">
        <f t="shared" si="21"/>
        <v>0.16013230805000001</v>
      </c>
      <c r="H88" s="190">
        <f t="shared" si="21"/>
        <v>0.16013230805000001</v>
      </c>
      <c r="I88" s="190">
        <f t="shared" si="21"/>
        <v>0.15645230804999999</v>
      </c>
      <c r="J88" s="190">
        <f t="shared" si="21"/>
        <v>0.15645230804999999</v>
      </c>
      <c r="K88" s="15"/>
      <c r="L88" s="15"/>
      <c r="M88" s="15"/>
    </row>
    <row r="89" spans="1:13" ht="13.8" outlineLevel="4" x14ac:dyDescent="0.3">
      <c r="A89" s="189" t="s">
        <v>84</v>
      </c>
      <c r="B89" s="190">
        <v>0.16749230805000001</v>
      </c>
      <c r="C89" s="190">
        <v>0.16381230804999999</v>
      </c>
      <c r="D89" s="190">
        <v>0.16381230804999999</v>
      </c>
      <c r="E89" s="190">
        <v>0.16381230804999999</v>
      </c>
      <c r="F89" s="190">
        <v>0.16381230804999999</v>
      </c>
      <c r="G89" s="190">
        <v>0.16013230805000001</v>
      </c>
      <c r="H89" s="190">
        <v>0.16013230805000001</v>
      </c>
      <c r="I89" s="190">
        <v>0.15645230804999999</v>
      </c>
      <c r="J89" s="190">
        <v>0.15645230804999999</v>
      </c>
      <c r="K89" s="15"/>
      <c r="L89" s="15"/>
      <c r="M89" s="15"/>
    </row>
    <row r="90" spans="1:13" ht="13.8" outlineLevel="3" x14ac:dyDescent="0.3">
      <c r="A90" s="191" t="s">
        <v>85</v>
      </c>
      <c r="B90" s="190">
        <f t="shared" ref="B90:J90" si="22">SUM(B$91:B$91)</f>
        <v>0.82499999999999996</v>
      </c>
      <c r="C90" s="190">
        <f t="shared" si="22"/>
        <v>0.82499999999999996</v>
      </c>
      <c r="D90" s="190">
        <f t="shared" si="22"/>
        <v>0.82499999999999996</v>
      </c>
      <c r="E90" s="190">
        <f t="shared" si="22"/>
        <v>0.82499999999999996</v>
      </c>
      <c r="F90" s="190">
        <f t="shared" si="22"/>
        <v>0.82499999999999996</v>
      </c>
      <c r="G90" s="190">
        <f t="shared" si="22"/>
        <v>0.82499999999999996</v>
      </c>
      <c r="H90" s="190">
        <f t="shared" si="22"/>
        <v>0.82499999999999996</v>
      </c>
      <c r="I90" s="190">
        <f t="shared" si="22"/>
        <v>0.82499999999999996</v>
      </c>
      <c r="J90" s="190">
        <f t="shared" si="22"/>
        <v>0.82499999999999996</v>
      </c>
      <c r="K90" s="15"/>
      <c r="L90" s="15"/>
      <c r="M90" s="15"/>
    </row>
    <row r="91" spans="1:13" ht="13.8" outlineLevel="4" x14ac:dyDescent="0.3">
      <c r="A91" s="189" t="s">
        <v>87</v>
      </c>
      <c r="B91" s="190">
        <v>0.82499999999999996</v>
      </c>
      <c r="C91" s="190">
        <v>0.82499999999999996</v>
      </c>
      <c r="D91" s="190">
        <v>0.82499999999999996</v>
      </c>
      <c r="E91" s="190">
        <v>0.82499999999999996</v>
      </c>
      <c r="F91" s="190">
        <v>0.82499999999999996</v>
      </c>
      <c r="G91" s="190">
        <v>0.82499999999999996</v>
      </c>
      <c r="H91" s="190">
        <v>0.82499999999999996</v>
      </c>
      <c r="I91" s="190">
        <v>0.82499999999999996</v>
      </c>
      <c r="J91" s="190">
        <v>0.82499999999999996</v>
      </c>
      <c r="K91" s="15"/>
      <c r="L91" s="15"/>
      <c r="M91" s="15"/>
    </row>
    <row r="92" spans="1:13" ht="13.8" outlineLevel="3" x14ac:dyDescent="0.3">
      <c r="A92" s="191" t="s">
        <v>65</v>
      </c>
      <c r="B92" s="190">
        <f t="shared" ref="B92:J92" si="23">SUM(B$93:B$93)</f>
        <v>0.11153697434</v>
      </c>
      <c r="C92" s="190">
        <f t="shared" si="23"/>
        <v>0.11254421163</v>
      </c>
      <c r="D92" s="190">
        <f t="shared" si="23"/>
        <v>0.11196555184</v>
      </c>
      <c r="E92" s="190">
        <f t="shared" si="23"/>
        <v>0.11046903538</v>
      </c>
      <c r="F92" s="190">
        <f t="shared" si="23"/>
        <v>0.11174173082</v>
      </c>
      <c r="G92" s="190">
        <f t="shared" si="23"/>
        <v>0.11147590919</v>
      </c>
      <c r="H92" s="190">
        <f t="shared" si="23"/>
        <v>0.1104456665</v>
      </c>
      <c r="I92" s="190">
        <f t="shared" si="23"/>
        <v>0.11106257379999999</v>
      </c>
      <c r="J92" s="190">
        <f t="shared" si="23"/>
        <v>0.11148597960999999</v>
      </c>
      <c r="K92" s="15"/>
      <c r="L92" s="15"/>
      <c r="M92" s="15"/>
    </row>
    <row r="93" spans="1:13" ht="13.8" outlineLevel="4" x14ac:dyDescent="0.3">
      <c r="A93" s="189" t="s">
        <v>32</v>
      </c>
      <c r="B93" s="190">
        <v>0.11153697434</v>
      </c>
      <c r="C93" s="190">
        <v>0.11254421163</v>
      </c>
      <c r="D93" s="190">
        <v>0.11196555184</v>
      </c>
      <c r="E93" s="190">
        <v>0.11046903538</v>
      </c>
      <c r="F93" s="190">
        <v>0.11174173082</v>
      </c>
      <c r="G93" s="190">
        <v>0.11147590919</v>
      </c>
      <c r="H93" s="190">
        <v>0.1104456665</v>
      </c>
      <c r="I93" s="190">
        <v>0.11106257379999999</v>
      </c>
      <c r="J93" s="190">
        <v>0.11148597960999999</v>
      </c>
      <c r="K93" s="15"/>
      <c r="L93" s="15"/>
      <c r="M93" s="15"/>
    </row>
    <row r="94" spans="1:13" ht="40.049999999999997" customHeight="1" x14ac:dyDescent="0.2">
      <c r="A94" s="298" t="s">
        <v>158</v>
      </c>
      <c r="B94" s="299"/>
      <c r="C94" s="299"/>
      <c r="D94" s="299"/>
      <c r="E94" s="299"/>
      <c r="F94" s="299"/>
      <c r="G94" s="299"/>
      <c r="H94" s="299"/>
      <c r="I94" s="299"/>
      <c r="J94" s="299"/>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row r="138" spans="2:13" x14ac:dyDescent="0.2">
      <c r="B138" s="14"/>
      <c r="C138" s="14"/>
      <c r="D138" s="14"/>
      <c r="E138" s="14"/>
      <c r="F138" s="14"/>
      <c r="G138" s="14"/>
      <c r="H138" s="14"/>
      <c r="I138" s="14"/>
      <c r="J138" s="14"/>
      <c r="K138" s="15"/>
      <c r="L138" s="15"/>
      <c r="M138" s="15"/>
    </row>
    <row r="139" spans="2:13" x14ac:dyDescent="0.2">
      <c r="B139" s="14"/>
      <c r="C139" s="14"/>
      <c r="D139" s="14"/>
      <c r="E139" s="14"/>
      <c r="F139" s="14"/>
      <c r="G139" s="14"/>
      <c r="H139" s="14"/>
      <c r="I139" s="14"/>
      <c r="J139" s="14"/>
      <c r="K139" s="15"/>
      <c r="L139" s="15"/>
      <c r="M139" s="15"/>
    </row>
    <row r="140" spans="2:13" x14ac:dyDescent="0.2">
      <c r="B140" s="14"/>
      <c r="C140" s="14"/>
      <c r="D140" s="14"/>
      <c r="E140" s="14"/>
      <c r="F140" s="14"/>
      <c r="G140" s="14"/>
      <c r="H140" s="14"/>
      <c r="I140" s="14"/>
      <c r="J140" s="14"/>
      <c r="K140" s="15"/>
      <c r="L140" s="15"/>
      <c r="M140" s="15"/>
    </row>
    <row r="141" spans="2:13" x14ac:dyDescent="0.2">
      <c r="B141" s="14"/>
      <c r="C141" s="14"/>
      <c r="D141" s="14"/>
      <c r="E141" s="14"/>
      <c r="F141" s="14"/>
      <c r="G141" s="14"/>
      <c r="H141" s="14"/>
      <c r="I141" s="14"/>
      <c r="J141" s="14"/>
      <c r="K141" s="15"/>
      <c r="L141" s="15"/>
      <c r="M141" s="15"/>
    </row>
    <row r="142" spans="2:13" x14ac:dyDescent="0.2">
      <c r="B142" s="14"/>
      <c r="C142" s="14"/>
      <c r="D142" s="14"/>
      <c r="E142" s="14"/>
      <c r="F142" s="14"/>
      <c r="G142" s="14"/>
      <c r="H142" s="14"/>
      <c r="I142" s="14"/>
      <c r="J142" s="14"/>
      <c r="K142" s="15"/>
      <c r="L142" s="15"/>
      <c r="M142" s="15"/>
    </row>
    <row r="143" spans="2:13" x14ac:dyDescent="0.2">
      <c r="B143" s="14"/>
      <c r="C143" s="14"/>
      <c r="D143" s="14"/>
      <c r="E143" s="14"/>
      <c r="F143" s="14"/>
      <c r="G143" s="14"/>
      <c r="H143" s="14"/>
      <c r="I143" s="14"/>
      <c r="J143" s="14"/>
      <c r="K143" s="15"/>
      <c r="L143" s="15"/>
      <c r="M143" s="15"/>
    </row>
    <row r="144" spans="2:13" x14ac:dyDescent="0.2">
      <c r="B144" s="14"/>
      <c r="C144" s="14"/>
      <c r="D144" s="14"/>
      <c r="E144" s="14"/>
      <c r="F144" s="14"/>
      <c r="G144" s="14"/>
      <c r="H144" s="14"/>
      <c r="I144" s="14"/>
      <c r="J144" s="14"/>
      <c r="K144" s="15"/>
      <c r="L144" s="15"/>
      <c r="M144" s="15"/>
    </row>
    <row r="145" spans="2:13" x14ac:dyDescent="0.2">
      <c r="B145" s="14"/>
      <c r="C145" s="14"/>
      <c r="D145" s="14"/>
      <c r="E145" s="14"/>
      <c r="F145" s="14"/>
      <c r="G145" s="14"/>
      <c r="H145" s="14"/>
      <c r="I145" s="14"/>
      <c r="J145" s="14"/>
      <c r="K145" s="15"/>
      <c r="L145" s="15"/>
      <c r="M145" s="15"/>
    </row>
  </sheetData>
  <mergeCells count="2">
    <mergeCell ref="A2:J2"/>
    <mergeCell ref="A94:J94"/>
  </mergeCells>
  <phoneticPr fontId="4" type="noConversion"/>
  <printOptions horizontalCentered="1" verticalCentered="1"/>
  <pageMargins left="0.25" right="0.25" top="0.75" bottom="0.75" header="0.3" footer="0.3"/>
  <pageSetup paperSize="9" scale="5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20">
    <tabColor indexed="57"/>
    <outlinePr applyStyles="1" summaryBelow="0"/>
    <pageSetUpPr fitToPage="1"/>
  </sheetPr>
  <dimension ref="A1:O137"/>
  <sheetViews>
    <sheetView zoomScale="90" zoomScaleNormal="90" workbookViewId="0">
      <selection activeCell="A94" sqref="A94:J94"/>
    </sheetView>
  </sheetViews>
  <sheetFormatPr defaultColWidth="9.109375" defaultRowHeight="10.199999999999999" outlineLevelRow="4" x14ac:dyDescent="0.2"/>
  <cols>
    <col min="1" max="1" width="52" style="12" customWidth="1"/>
    <col min="2" max="10" width="16.33203125" style="13" customWidth="1"/>
    <col min="11" max="11" width="9.109375" style="12" customWidth="1"/>
    <col min="12" max="16384" width="9.109375" style="12"/>
  </cols>
  <sheetData>
    <row r="1" spans="1:15" s="26" customFormat="1" ht="18" x14ac:dyDescent="0.3">
      <c r="A1" s="5"/>
      <c r="B1" s="5"/>
      <c r="C1" s="5"/>
      <c r="D1" s="5"/>
      <c r="E1" s="5"/>
      <c r="F1" s="5"/>
      <c r="G1" s="5"/>
      <c r="H1" s="5"/>
      <c r="I1" s="5"/>
      <c r="J1" s="5"/>
    </row>
    <row r="2" spans="1:15" s="26" customFormat="1" ht="18" x14ac:dyDescent="0.3">
      <c r="A2" s="5" t="str">
        <f>IF(REPORT_LANG="UKR","Державний та гарантований державою борг України за поточний рік","State debt and State guaranteed debt of  Ukraine for the current year")</f>
        <v>Державний та гарантований державою борг України за поточний рік</v>
      </c>
      <c r="B2" s="5"/>
      <c r="C2" s="5"/>
      <c r="D2" s="5"/>
      <c r="E2" s="5"/>
      <c r="F2" s="5"/>
      <c r="G2" s="5"/>
      <c r="H2" s="5"/>
      <c r="I2" s="5"/>
      <c r="J2" s="5"/>
      <c r="K2" s="11"/>
      <c r="L2" s="11"/>
      <c r="M2" s="11"/>
      <c r="N2" s="11"/>
      <c r="O2" s="11"/>
    </row>
    <row r="3" spans="1:15" s="26" customFormat="1" ht="13.8" x14ac:dyDescent="0.3">
      <c r="A3" s="28"/>
      <c r="B3" s="27"/>
      <c r="C3" s="27"/>
      <c r="D3" s="27"/>
      <c r="E3" s="27"/>
      <c r="F3" s="27"/>
      <c r="G3" s="27"/>
      <c r="H3" s="27"/>
      <c r="I3" s="27"/>
      <c r="J3" s="27"/>
    </row>
    <row r="4" spans="1:15" s="31" customFormat="1" ht="13.8" x14ac:dyDescent="0.3">
      <c r="B4" s="32"/>
      <c r="C4" s="32"/>
      <c r="D4" s="32"/>
      <c r="E4" s="32"/>
      <c r="F4" s="32"/>
      <c r="G4" s="32"/>
      <c r="H4" s="32"/>
      <c r="I4" s="32"/>
      <c r="J4" s="32" t="str">
        <f>VALEUR</f>
        <v>млрд. євро</v>
      </c>
    </row>
    <row r="5" spans="1:15" s="18" customFormat="1" ht="13.8" x14ac:dyDescent="0.25">
      <c r="A5" s="16"/>
      <c r="B5" s="17">
        <v>46022</v>
      </c>
      <c r="C5" s="17">
        <v>46053</v>
      </c>
      <c r="D5" s="17">
        <v>46081</v>
      </c>
      <c r="E5" s="17">
        <v>46112</v>
      </c>
      <c r="F5" s="17">
        <v>46142</v>
      </c>
      <c r="G5" s="17">
        <v>46173</v>
      </c>
      <c r="H5" s="17">
        <v>46203</v>
      </c>
      <c r="I5" s="17">
        <v>46234</v>
      </c>
      <c r="J5" s="17">
        <v>46265</v>
      </c>
    </row>
    <row r="6" spans="1:15" s="19" customFormat="1" ht="31.2" x14ac:dyDescent="0.25">
      <c r="A6" s="154"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6" s="25">
        <f t="shared" ref="B6:J6" si="0">B$7+B$62</f>
        <v>181.37408418046002</v>
      </c>
      <c r="C6" s="25">
        <f t="shared" si="0"/>
        <v>179.78505696571</v>
      </c>
      <c r="D6" s="25">
        <f t="shared" si="0"/>
        <v>180.52526574998996</v>
      </c>
      <c r="E6" s="25">
        <f t="shared" si="0"/>
        <v>183.51432685237</v>
      </c>
      <c r="F6" s="25">
        <f t="shared" si="0"/>
        <v>181.18371684358999</v>
      </c>
      <c r="G6" s="25">
        <f t="shared" si="0"/>
        <v>181.13419969409</v>
      </c>
      <c r="H6" s="25">
        <f t="shared" si="0"/>
        <v>185.48857308493004</v>
      </c>
      <c r="I6" s="25">
        <f t="shared" si="0"/>
        <v>186.68953268116999</v>
      </c>
      <c r="J6" s="25">
        <f t="shared" si="0"/>
        <v>185.09674296469998</v>
      </c>
    </row>
    <row r="7" spans="1:15" s="140" customFormat="1" ht="14.4" outlineLevel="1" x14ac:dyDescent="0.25">
      <c r="A7" s="182" t="s">
        <v>1</v>
      </c>
      <c r="B7" s="183">
        <f t="shared" ref="B7:J7" si="1">B$8+B$23</f>
        <v>175.82449681782001</v>
      </c>
      <c r="C7" s="183">
        <f t="shared" si="1"/>
        <v>174.34343558616999</v>
      </c>
      <c r="D7" s="183">
        <f t="shared" si="1"/>
        <v>175.22288529367995</v>
      </c>
      <c r="E7" s="183">
        <f t="shared" si="1"/>
        <v>178.34736956623999</v>
      </c>
      <c r="F7" s="183">
        <f t="shared" si="1"/>
        <v>176.15542696889</v>
      </c>
      <c r="G7" s="183">
        <f t="shared" si="1"/>
        <v>176.05895472176999</v>
      </c>
      <c r="H7" s="183">
        <f t="shared" si="1"/>
        <v>180.36645728657004</v>
      </c>
      <c r="I7" s="183">
        <f t="shared" si="1"/>
        <v>181.60010726534</v>
      </c>
      <c r="J7" s="183">
        <f t="shared" si="1"/>
        <v>180.12738288729997</v>
      </c>
    </row>
    <row r="8" spans="1:15" s="21" customFormat="1" ht="14.4" outlineLevel="2" x14ac:dyDescent="0.25">
      <c r="A8" s="184" t="s">
        <v>3</v>
      </c>
      <c r="B8" s="185">
        <f t="shared" ref="B8:J8" si="2">B$9+B$21</f>
        <v>39.457394578079999</v>
      </c>
      <c r="C8" s="185">
        <f t="shared" si="2"/>
        <v>38.886801820909994</v>
      </c>
      <c r="D8" s="185">
        <f t="shared" si="2"/>
        <v>39.385410061649999</v>
      </c>
      <c r="E8" s="185">
        <f t="shared" si="2"/>
        <v>40.027765868479996</v>
      </c>
      <c r="F8" s="185">
        <f t="shared" si="2"/>
        <v>38.846785425669999</v>
      </c>
      <c r="G8" s="185">
        <f t="shared" si="2"/>
        <v>38.667151173000001</v>
      </c>
      <c r="H8" s="185">
        <f t="shared" si="2"/>
        <v>38.68750934434</v>
      </c>
      <c r="I8" s="185">
        <f t="shared" si="2"/>
        <v>39.222115444549999</v>
      </c>
      <c r="J8" s="185">
        <f t="shared" si="2"/>
        <v>38.615067010400004</v>
      </c>
    </row>
    <row r="9" spans="1:15" s="22" customFormat="1" ht="13.8" outlineLevel="3" x14ac:dyDescent="0.25">
      <c r="A9" s="186" t="s">
        <v>4</v>
      </c>
      <c r="B9" s="187">
        <f t="shared" ref="B9:J9" si="3">SUM(B$10:B$20)</f>
        <v>39.43086794213</v>
      </c>
      <c r="C9" s="187">
        <f t="shared" si="3"/>
        <v>38.860992572979995</v>
      </c>
      <c r="D9" s="187">
        <f t="shared" si="3"/>
        <v>39.359490595170001</v>
      </c>
      <c r="E9" s="187">
        <f t="shared" si="3"/>
        <v>40.002136706329999</v>
      </c>
      <c r="F9" s="187">
        <f t="shared" si="3"/>
        <v>38.821786305949999</v>
      </c>
      <c r="G9" s="187">
        <f t="shared" si="3"/>
        <v>38.64208206627</v>
      </c>
      <c r="H9" s="187">
        <f t="shared" si="3"/>
        <v>38.662954427700001</v>
      </c>
      <c r="I9" s="187">
        <f t="shared" si="3"/>
        <v>39.197612152200001</v>
      </c>
      <c r="J9" s="187">
        <f t="shared" si="3"/>
        <v>38.590849792260002</v>
      </c>
    </row>
    <row r="10" spans="1:15" s="24" customFormat="1" ht="13.8" outlineLevel="4" x14ac:dyDescent="0.25">
      <c r="A10" s="188" t="s">
        <v>7</v>
      </c>
      <c r="B10" s="180">
        <v>8.5244652150000003E-2</v>
      </c>
      <c r="C10" s="180">
        <v>8.2939290390000003E-2</v>
      </c>
      <c r="D10" s="180">
        <v>8.3293483119999998E-2</v>
      </c>
      <c r="E10" s="180">
        <v>8.4472385479999995E-2</v>
      </c>
      <c r="F10" s="180">
        <v>8.2395798389999997E-2</v>
      </c>
      <c r="G10" s="180">
        <v>8.2626471970000004E-2</v>
      </c>
      <c r="H10" s="180">
        <v>8.3061510470000002E-2</v>
      </c>
      <c r="I10" s="180">
        <v>8.2886881839999996E-2</v>
      </c>
      <c r="J10" s="180">
        <v>8.1919183359999995E-2</v>
      </c>
    </row>
    <row r="11" spans="1:15" ht="13.8" outlineLevel="4" x14ac:dyDescent="0.3">
      <c r="A11" s="189" t="s">
        <v>8</v>
      </c>
      <c r="B11" s="190">
        <v>0.47937580856000001</v>
      </c>
      <c r="C11" s="190">
        <v>0.46641153891999998</v>
      </c>
      <c r="D11" s="190">
        <v>0.46840335212</v>
      </c>
      <c r="E11" s="190">
        <v>0.42534330572000001</v>
      </c>
      <c r="F11" s="190">
        <v>0.36641896227999998</v>
      </c>
      <c r="G11" s="190">
        <v>0.33439419243000001</v>
      </c>
      <c r="H11" s="190">
        <v>0.29706704919999999</v>
      </c>
      <c r="I11" s="190">
        <v>0.29644249501999997</v>
      </c>
      <c r="J11" s="190">
        <v>0.29298154987000002</v>
      </c>
      <c r="K11" s="15"/>
      <c r="L11" s="15"/>
      <c r="M11" s="15"/>
    </row>
    <row r="12" spans="1:15" ht="13.8" outlineLevel="4" x14ac:dyDescent="0.3">
      <c r="A12" s="189" t="s">
        <v>9</v>
      </c>
      <c r="B12" s="190">
        <v>2.2115471002099998</v>
      </c>
      <c r="C12" s="190">
        <v>2.0869671735300002</v>
      </c>
      <c r="D12" s="190">
        <v>2.09587957909</v>
      </c>
      <c r="E12" s="190">
        <v>2.1255438133800002</v>
      </c>
      <c r="F12" s="190">
        <v>2.0732915086900001</v>
      </c>
      <c r="G12" s="190">
        <v>2.0790958524900001</v>
      </c>
      <c r="H12" s="190">
        <v>2.0900425469199999</v>
      </c>
      <c r="I12" s="190">
        <v>2.0856484386299998</v>
      </c>
      <c r="J12" s="190">
        <v>2.0612986407</v>
      </c>
      <c r="K12" s="15"/>
      <c r="L12" s="15"/>
      <c r="M12" s="15"/>
    </row>
    <row r="13" spans="1:15" ht="13.8" outlineLevel="4" x14ac:dyDescent="0.3">
      <c r="A13" s="189" t="s">
        <v>10</v>
      </c>
      <c r="B13" s="190">
        <v>5.7217596100700003</v>
      </c>
      <c r="C13" s="190">
        <v>5.5670199815599997</v>
      </c>
      <c r="D13" s="190">
        <v>5.5907939731800003</v>
      </c>
      <c r="E13" s="190">
        <v>5.6699238159099998</v>
      </c>
      <c r="F13" s="190">
        <v>5.5305399155300003</v>
      </c>
      <c r="G13" s="190">
        <v>5.5460231005400003</v>
      </c>
      <c r="H13" s="190">
        <v>5.5752235919300004</v>
      </c>
      <c r="I13" s="190">
        <v>5.5635022341499996</v>
      </c>
      <c r="J13" s="190">
        <v>5.4985487388600003</v>
      </c>
      <c r="K13" s="15"/>
      <c r="L13" s="15"/>
      <c r="M13" s="15"/>
    </row>
    <row r="14" spans="1:15" ht="13.8" outlineLevel="4" x14ac:dyDescent="0.3">
      <c r="A14" s="189" t="s">
        <v>13</v>
      </c>
      <c r="B14" s="190">
        <v>0.21491512640999999</v>
      </c>
      <c r="C14" s="190">
        <v>0.20910294815</v>
      </c>
      <c r="D14" s="190">
        <v>0.20999592350999999</v>
      </c>
      <c r="E14" s="190">
        <v>0.21296812110999999</v>
      </c>
      <c r="F14" s="190">
        <v>0.20773271966000001</v>
      </c>
      <c r="G14" s="190">
        <v>0.20831428389000001</v>
      </c>
      <c r="H14" s="190">
        <v>0.20941108411000001</v>
      </c>
      <c r="I14" s="190">
        <v>0.20897081797</v>
      </c>
      <c r="J14" s="190">
        <v>0.20653109845000001</v>
      </c>
      <c r="K14" s="15"/>
      <c r="L14" s="15"/>
      <c r="M14" s="15"/>
    </row>
    <row r="15" spans="1:15" ht="13.8" outlineLevel="4" x14ac:dyDescent="0.3">
      <c r="A15" s="189" t="s">
        <v>14</v>
      </c>
      <c r="B15" s="190">
        <v>0.78557080824000003</v>
      </c>
      <c r="C15" s="190">
        <v>0.76432578162999998</v>
      </c>
      <c r="D15" s="190">
        <v>0.76758983937000003</v>
      </c>
      <c r="E15" s="190">
        <v>0.77845399635000001</v>
      </c>
      <c r="F15" s="190">
        <v>0.75931723932999995</v>
      </c>
      <c r="G15" s="190">
        <v>0.54858384058999998</v>
      </c>
      <c r="H15" s="190">
        <v>0.55147220176</v>
      </c>
      <c r="I15" s="190">
        <v>0.55031278582999998</v>
      </c>
      <c r="J15" s="190">
        <v>0.54388792298999999</v>
      </c>
      <c r="K15" s="15"/>
      <c r="L15" s="15"/>
      <c r="M15" s="15"/>
    </row>
    <row r="16" spans="1:15" ht="13.8" outlineLevel="4" x14ac:dyDescent="0.3">
      <c r="A16" s="189" t="s">
        <v>15</v>
      </c>
      <c r="B16" s="190">
        <v>8.6274307261400001</v>
      </c>
      <c r="C16" s="190">
        <v>8.3941099443099993</v>
      </c>
      <c r="D16" s="190">
        <v>8.4299570401700006</v>
      </c>
      <c r="E16" s="190">
        <v>8.5492712517800005</v>
      </c>
      <c r="F16" s="190">
        <v>8.3391042704099991</v>
      </c>
      <c r="G16" s="190">
        <v>8.3601066172900005</v>
      </c>
      <c r="H16" s="190">
        <v>8.4041236033000004</v>
      </c>
      <c r="I16" s="190">
        <v>8.3864547623300005</v>
      </c>
      <c r="J16" s="190">
        <v>8.28854349621</v>
      </c>
      <c r="K16" s="15"/>
      <c r="L16" s="15"/>
      <c r="M16" s="15"/>
    </row>
    <row r="17" spans="1:13" ht="13.8" outlineLevel="4" x14ac:dyDescent="0.3">
      <c r="A17" s="189" t="s">
        <v>16</v>
      </c>
      <c r="B17" s="190">
        <v>1.9097038901600001</v>
      </c>
      <c r="C17" s="190">
        <v>1.5374506023100001</v>
      </c>
      <c r="D17" s="190">
        <v>1.4750166978599999</v>
      </c>
      <c r="E17" s="190">
        <v>1.4958934893</v>
      </c>
      <c r="F17" s="190">
        <v>1.4591198965900001</v>
      </c>
      <c r="G17" s="190">
        <v>1.4632048183899999</v>
      </c>
      <c r="H17" s="190">
        <v>1.16251004066</v>
      </c>
      <c r="I17" s="190">
        <v>1.0780089205900001</v>
      </c>
      <c r="J17" s="190">
        <v>0.79766661400000005</v>
      </c>
      <c r="K17" s="15"/>
      <c r="L17" s="15"/>
      <c r="M17" s="15"/>
    </row>
    <row r="18" spans="1:13" ht="13.8" outlineLevel="4" x14ac:dyDescent="0.3">
      <c r="A18" s="189" t="s">
        <v>17</v>
      </c>
      <c r="B18" s="190">
        <v>7.6552119784099997</v>
      </c>
      <c r="C18" s="190">
        <v>7.0879174820699999</v>
      </c>
      <c r="D18" s="190">
        <v>6.6374383824100001</v>
      </c>
      <c r="E18" s="190">
        <v>6.3534267168299996</v>
      </c>
      <c r="F18" s="190">
        <v>5.8815641437600004</v>
      </c>
      <c r="G18" s="190">
        <v>5.5411512103799998</v>
      </c>
      <c r="H18" s="190">
        <v>5.3610005686999997</v>
      </c>
      <c r="I18" s="190">
        <v>5.0736973400399998</v>
      </c>
      <c r="J18" s="190">
        <v>4.9000576326600003</v>
      </c>
      <c r="K18" s="15"/>
      <c r="L18" s="15"/>
      <c r="M18" s="15"/>
    </row>
    <row r="19" spans="1:13" ht="13.8" outlineLevel="4" x14ac:dyDescent="0.3">
      <c r="A19" s="189" t="s">
        <v>18</v>
      </c>
      <c r="B19" s="190">
        <v>11.74010824178</v>
      </c>
      <c r="C19" s="190">
        <v>11.46528465225</v>
      </c>
      <c r="D19" s="190">
        <v>11.13665553343</v>
      </c>
      <c r="E19" s="190">
        <v>11.30634215165</v>
      </c>
      <c r="F19" s="190">
        <v>10.698604227300001</v>
      </c>
      <c r="G19" s="190">
        <v>10.73322999104</v>
      </c>
      <c r="H19" s="190">
        <v>10.417130674619999</v>
      </c>
      <c r="I19" s="190">
        <v>10.022143980159999</v>
      </c>
      <c r="J19" s="190">
        <v>9.5023788907599993</v>
      </c>
      <c r="K19" s="15"/>
      <c r="L19" s="15"/>
      <c r="M19" s="15"/>
    </row>
    <row r="20" spans="1:13" ht="13.8" outlineLevel="4" x14ac:dyDescent="0.3">
      <c r="A20" s="189" t="s">
        <v>19</v>
      </c>
      <c r="B20" s="190">
        <v>0</v>
      </c>
      <c r="C20" s="190">
        <v>1.19946317786</v>
      </c>
      <c r="D20" s="190">
        <v>2.46446679091</v>
      </c>
      <c r="E20" s="190">
        <v>3.0004976588200001</v>
      </c>
      <c r="F20" s="190">
        <v>3.4236976240099999</v>
      </c>
      <c r="G20" s="190">
        <v>3.7453516872599999</v>
      </c>
      <c r="H20" s="190">
        <v>4.5119115560300003</v>
      </c>
      <c r="I20" s="190">
        <v>5.8495434956399999</v>
      </c>
      <c r="J20" s="190">
        <v>6.4170360243999998</v>
      </c>
      <c r="K20" s="15"/>
      <c r="L20" s="15"/>
      <c r="M20" s="15"/>
    </row>
    <row r="21" spans="1:13" ht="13.8" outlineLevel="3" x14ac:dyDescent="0.3">
      <c r="A21" s="191" t="s">
        <v>20</v>
      </c>
      <c r="B21" s="190">
        <f t="shared" ref="B21:J21" si="4">SUM(B$22:B$22)</f>
        <v>2.6526635949999999E-2</v>
      </c>
      <c r="C21" s="190">
        <f t="shared" si="4"/>
        <v>2.5809247930000001E-2</v>
      </c>
      <c r="D21" s="190">
        <f t="shared" si="4"/>
        <v>2.591946648E-2</v>
      </c>
      <c r="E21" s="190">
        <f t="shared" si="4"/>
        <v>2.5629162149999999E-2</v>
      </c>
      <c r="F21" s="190">
        <f t="shared" si="4"/>
        <v>2.4999119720000001E-2</v>
      </c>
      <c r="G21" s="190">
        <f t="shared" si="4"/>
        <v>2.5069106729999999E-2</v>
      </c>
      <c r="H21" s="190">
        <f t="shared" si="4"/>
        <v>2.455491664E-2</v>
      </c>
      <c r="I21" s="190">
        <f t="shared" si="4"/>
        <v>2.4503292350000001E-2</v>
      </c>
      <c r="J21" s="190">
        <f t="shared" si="4"/>
        <v>2.421721814E-2</v>
      </c>
      <c r="K21" s="15"/>
      <c r="L21" s="15"/>
      <c r="M21" s="15"/>
    </row>
    <row r="22" spans="1:13" ht="13.8" outlineLevel="4" x14ac:dyDescent="0.3">
      <c r="A22" s="189" t="s">
        <v>21</v>
      </c>
      <c r="B22" s="190">
        <v>2.6526635949999999E-2</v>
      </c>
      <c r="C22" s="190">
        <v>2.5809247930000001E-2</v>
      </c>
      <c r="D22" s="190">
        <v>2.591946648E-2</v>
      </c>
      <c r="E22" s="190">
        <v>2.5629162149999999E-2</v>
      </c>
      <c r="F22" s="190">
        <v>2.4999119720000001E-2</v>
      </c>
      <c r="G22" s="190">
        <v>2.5069106729999999E-2</v>
      </c>
      <c r="H22" s="190">
        <v>2.455491664E-2</v>
      </c>
      <c r="I22" s="190">
        <v>2.4503292350000001E-2</v>
      </c>
      <c r="J22" s="190">
        <v>2.421721814E-2</v>
      </c>
      <c r="K22" s="15"/>
      <c r="L22" s="15"/>
      <c r="M22" s="15"/>
    </row>
    <row r="23" spans="1:13" ht="14.4" outlineLevel="2" x14ac:dyDescent="0.3">
      <c r="A23" s="192" t="s">
        <v>22</v>
      </c>
      <c r="B23" s="193">
        <f t="shared" ref="B23:J23" si="5">B$24+B$35+B$46+B$48+B$55+B$58+B$60</f>
        <v>136.36710223974001</v>
      </c>
      <c r="C23" s="193">
        <f t="shared" si="5"/>
        <v>135.45663376525999</v>
      </c>
      <c r="D23" s="193">
        <f t="shared" si="5"/>
        <v>135.83747523202996</v>
      </c>
      <c r="E23" s="193">
        <f t="shared" si="5"/>
        <v>138.31960369775999</v>
      </c>
      <c r="F23" s="193">
        <f t="shared" si="5"/>
        <v>137.30864154322001</v>
      </c>
      <c r="G23" s="193">
        <f t="shared" si="5"/>
        <v>137.39180354876999</v>
      </c>
      <c r="H23" s="193">
        <f t="shared" si="5"/>
        <v>141.67894794223002</v>
      </c>
      <c r="I23" s="193">
        <f t="shared" si="5"/>
        <v>142.37799182078999</v>
      </c>
      <c r="J23" s="193">
        <f t="shared" si="5"/>
        <v>141.51231587689998</v>
      </c>
      <c r="K23" s="15"/>
      <c r="L23" s="15"/>
      <c r="M23" s="15"/>
    </row>
    <row r="24" spans="1:13" ht="13.8" outlineLevel="3" x14ac:dyDescent="0.3">
      <c r="A24" s="191" t="s">
        <v>23</v>
      </c>
      <c r="B24" s="190">
        <f t="shared" ref="B24:J24" si="6">SUM(B$25:B$34)</f>
        <v>104.98651146618002</v>
      </c>
      <c r="C24" s="190">
        <f t="shared" si="6"/>
        <v>104.43316932984</v>
      </c>
      <c r="D24" s="190">
        <f t="shared" si="6"/>
        <v>104.57022423052</v>
      </c>
      <c r="E24" s="190">
        <f t="shared" si="6"/>
        <v>106.37134979712</v>
      </c>
      <c r="F24" s="190">
        <f t="shared" si="6"/>
        <v>105.74076967471001</v>
      </c>
      <c r="G24" s="190">
        <f t="shared" si="6"/>
        <v>105.63444560455999</v>
      </c>
      <c r="H24" s="190">
        <f t="shared" si="6"/>
        <v>109.56865959008</v>
      </c>
      <c r="I24" s="190">
        <f t="shared" si="6"/>
        <v>110.33855017361</v>
      </c>
      <c r="J24" s="190">
        <f t="shared" si="6"/>
        <v>109.78404993445</v>
      </c>
      <c r="K24" s="15"/>
      <c r="L24" s="15"/>
      <c r="M24" s="15"/>
    </row>
    <row r="25" spans="1:13" ht="13.8" outlineLevel="4" x14ac:dyDescent="0.3">
      <c r="A25" s="189" t="s">
        <v>24</v>
      </c>
      <c r="B25" s="190">
        <v>9.7508370799999997E-3</v>
      </c>
      <c r="C25" s="190">
        <v>9.7508370799999997E-3</v>
      </c>
      <c r="D25" s="190">
        <v>9.7508370799999997E-3</v>
      </c>
      <c r="E25" s="190">
        <v>9.1414097600000001E-3</v>
      </c>
      <c r="F25" s="190">
        <v>9.1414097600000001E-3</v>
      </c>
      <c r="G25" s="190">
        <v>9.1414097600000001E-3</v>
      </c>
      <c r="H25" s="190">
        <v>9.1414097600000001E-3</v>
      </c>
      <c r="I25" s="190">
        <v>9.1414097600000001E-3</v>
      </c>
      <c r="J25" s="190">
        <v>9.1414097600000001E-3</v>
      </c>
      <c r="K25" s="15"/>
      <c r="L25" s="15"/>
      <c r="M25" s="15"/>
    </row>
    <row r="26" spans="1:13" ht="13.8" outlineLevel="4" x14ac:dyDescent="0.3">
      <c r="A26" s="189" t="s">
        <v>25</v>
      </c>
      <c r="B26" s="190">
        <v>0.45867201299999999</v>
      </c>
      <c r="C26" s="190">
        <v>0.45867201299999999</v>
      </c>
      <c r="D26" s="190">
        <v>0.45867201299999999</v>
      </c>
      <c r="E26" s="190">
        <v>0.45867201299999999</v>
      </c>
      <c r="F26" s="190">
        <v>0.45867201299999999</v>
      </c>
      <c r="G26" s="190">
        <v>0.48367201300000001</v>
      </c>
      <c r="H26" s="190">
        <v>0.48367201300000001</v>
      </c>
      <c r="I26" s="190">
        <v>0.48367201300000001</v>
      </c>
      <c r="J26" s="190">
        <v>0.51217201300000004</v>
      </c>
      <c r="K26" s="15"/>
      <c r="L26" s="15"/>
      <c r="M26" s="15"/>
    </row>
    <row r="27" spans="1:13" ht="13.8" outlineLevel="4" x14ac:dyDescent="0.3">
      <c r="A27" s="189" t="s">
        <v>26</v>
      </c>
      <c r="B27" s="190">
        <v>5.3599998090000003E-2</v>
      </c>
      <c r="C27" s="190">
        <v>5.3852051380000002E-2</v>
      </c>
      <c r="D27" s="190">
        <v>5.4113980909999998E-2</v>
      </c>
      <c r="E27" s="190">
        <v>5.4854759330000002E-2</v>
      </c>
      <c r="F27" s="190">
        <v>5.3739118799999999E-2</v>
      </c>
      <c r="G27" s="190">
        <v>5.4519647009999998E-2</v>
      </c>
      <c r="H27" s="190">
        <v>5.370544486E-2</v>
      </c>
      <c r="I27" s="190">
        <v>5.7070690479999998E-2</v>
      </c>
      <c r="J27" s="190">
        <v>5.7070690479999998E-2</v>
      </c>
      <c r="K27" s="15"/>
      <c r="L27" s="15"/>
      <c r="M27" s="15"/>
    </row>
    <row r="28" spans="1:13" ht="13.8" outlineLevel="4" x14ac:dyDescent="0.3">
      <c r="A28" s="189" t="s">
        <v>27</v>
      </c>
      <c r="B28" s="190">
        <v>2.8578937139099998</v>
      </c>
      <c r="C28" s="190">
        <v>2.8578937139099998</v>
      </c>
      <c r="D28" s="190">
        <v>2.8464100516299999</v>
      </c>
      <c r="E28" s="190">
        <v>2.84417671829</v>
      </c>
      <c r="F28" s="190">
        <v>2.8417533849600001</v>
      </c>
      <c r="G28" s="190">
        <v>2.77544563464</v>
      </c>
      <c r="H28" s="190">
        <v>2.7768138857900002</v>
      </c>
      <c r="I28" s="190">
        <v>2.7946287587900001</v>
      </c>
      <c r="J28" s="190">
        <v>2.7831450965100002</v>
      </c>
      <c r="K28" s="15"/>
      <c r="L28" s="15"/>
      <c r="M28" s="15"/>
    </row>
    <row r="29" spans="1:13" ht="13.8" outlineLevel="4" x14ac:dyDescent="0.3">
      <c r="A29" s="189" t="s">
        <v>28</v>
      </c>
      <c r="B29" s="190">
        <v>52.173401300000002</v>
      </c>
      <c r="C29" s="190">
        <v>52.173401300000002</v>
      </c>
      <c r="D29" s="190">
        <v>52.173401300000002</v>
      </c>
      <c r="E29" s="190">
        <v>52.173401300000002</v>
      </c>
      <c r="F29" s="190">
        <v>52.123401299999998</v>
      </c>
      <c r="G29" s="190">
        <v>52.123401299999998</v>
      </c>
      <c r="H29" s="190">
        <v>54.565923224000002</v>
      </c>
      <c r="I29" s="190">
        <v>54.565923224000002</v>
      </c>
      <c r="J29" s="190">
        <v>54.565923224000002</v>
      </c>
      <c r="K29" s="15"/>
      <c r="L29" s="15"/>
      <c r="M29" s="15"/>
    </row>
    <row r="30" spans="1:13" ht="13.8" outlineLevel="4" x14ac:dyDescent="0.3">
      <c r="A30" s="189" t="s">
        <v>29</v>
      </c>
      <c r="B30" s="190">
        <v>18.115696101000001</v>
      </c>
      <c r="C30" s="190">
        <v>18.115696101000001</v>
      </c>
      <c r="D30" s="190">
        <v>18.115696101000001</v>
      </c>
      <c r="E30" s="190">
        <v>18.115696101000001</v>
      </c>
      <c r="F30" s="190">
        <v>18.115696101000001</v>
      </c>
      <c r="G30" s="190">
        <v>17.946986641190001</v>
      </c>
      <c r="H30" s="190">
        <v>17.946986641190001</v>
      </c>
      <c r="I30" s="190">
        <v>17.946986641190001</v>
      </c>
      <c r="J30" s="190">
        <v>17.946986641190001</v>
      </c>
      <c r="K30" s="15"/>
      <c r="L30" s="15"/>
      <c r="M30" s="15"/>
    </row>
    <row r="31" spans="1:13" ht="13.8" outlineLevel="4" x14ac:dyDescent="0.3">
      <c r="A31" s="189" t="s">
        <v>30</v>
      </c>
      <c r="B31" s="190">
        <v>5.6799099810599998</v>
      </c>
      <c r="C31" s="190">
        <v>5.6020111271499999</v>
      </c>
      <c r="D31" s="190">
        <v>5.6611602917199999</v>
      </c>
      <c r="E31" s="190">
        <v>5.80008174611</v>
      </c>
      <c r="F31" s="190">
        <v>5.7117265501999999</v>
      </c>
      <c r="G31" s="190">
        <v>5.7500615060099998</v>
      </c>
      <c r="H31" s="190">
        <v>5.8389072147699999</v>
      </c>
      <c r="I31" s="190">
        <v>5.8116635607699996</v>
      </c>
      <c r="J31" s="190">
        <v>5.6608760975400001</v>
      </c>
      <c r="K31" s="15"/>
      <c r="L31" s="15"/>
      <c r="M31" s="15"/>
    </row>
    <row r="32" spans="1:13" ht="13.8" outlineLevel="4" x14ac:dyDescent="0.3">
      <c r="A32" s="189" t="s">
        <v>31</v>
      </c>
      <c r="B32" s="190">
        <v>14.019961889739999</v>
      </c>
      <c r="C32" s="190">
        <v>13.78044038717</v>
      </c>
      <c r="D32" s="190">
        <v>13.856282218420001</v>
      </c>
      <c r="E32" s="190">
        <v>14.199589846609999</v>
      </c>
      <c r="F32" s="190">
        <v>13.946970051179999</v>
      </c>
      <c r="G32" s="190">
        <v>14.02787790787</v>
      </c>
      <c r="H32" s="190">
        <v>15.46947752781</v>
      </c>
      <c r="I32" s="190">
        <v>15.79989772793</v>
      </c>
      <c r="J32" s="190">
        <v>15.59502004292</v>
      </c>
      <c r="K32" s="15"/>
      <c r="L32" s="15"/>
      <c r="M32" s="15"/>
    </row>
    <row r="33" spans="1:13" ht="13.8" outlineLevel="4" x14ac:dyDescent="0.3">
      <c r="A33" s="189" t="s">
        <v>32</v>
      </c>
      <c r="B33" s="190">
        <v>11.529000814990001</v>
      </c>
      <c r="C33" s="190">
        <v>11.296180606729999</v>
      </c>
      <c r="D33" s="190">
        <v>11.308101833329999</v>
      </c>
      <c r="E33" s="190">
        <v>12.626679641619999</v>
      </c>
      <c r="F33" s="190">
        <v>12.39223449336</v>
      </c>
      <c r="G33" s="190">
        <v>12.37529492312</v>
      </c>
      <c r="H33" s="190">
        <v>12.33821955202</v>
      </c>
      <c r="I33" s="190">
        <v>12.786342519830001</v>
      </c>
      <c r="J33" s="190">
        <v>12.57172240657</v>
      </c>
      <c r="K33" s="15"/>
      <c r="L33" s="15"/>
      <c r="M33" s="15"/>
    </row>
    <row r="34" spans="1:13" ht="13.8" outlineLevel="4" x14ac:dyDescent="0.3">
      <c r="A34" s="189" t="s">
        <v>33</v>
      </c>
      <c r="B34" s="190">
        <v>8.8624817310000006E-2</v>
      </c>
      <c r="C34" s="190">
        <v>8.5271192420000003E-2</v>
      </c>
      <c r="D34" s="190">
        <v>8.6635603429999999E-2</v>
      </c>
      <c r="E34" s="190">
        <v>8.9056261400000003E-2</v>
      </c>
      <c r="F34" s="190">
        <v>8.7435252450000001E-2</v>
      </c>
      <c r="G34" s="190">
        <v>8.804462196E-2</v>
      </c>
      <c r="H34" s="190">
        <v>8.5812676879999994E-2</v>
      </c>
      <c r="I34" s="190">
        <v>8.3223627859999996E-2</v>
      </c>
      <c r="J34" s="190">
        <v>8.1992312479999996E-2</v>
      </c>
      <c r="K34" s="15"/>
      <c r="L34" s="15"/>
      <c r="M34" s="15"/>
    </row>
    <row r="35" spans="1:13" ht="13.8" outlineLevel="3" x14ac:dyDescent="0.3">
      <c r="A35" s="191" t="s">
        <v>34</v>
      </c>
      <c r="B35" s="190">
        <f t="shared" ref="B35:J35" si="7">SUM(B$36:B$45)</f>
        <v>6.8785409365600012</v>
      </c>
      <c r="C35" s="190">
        <f t="shared" si="7"/>
        <v>6.8580778331599994</v>
      </c>
      <c r="D35" s="190">
        <f t="shared" si="7"/>
        <v>6.8671186510000011</v>
      </c>
      <c r="E35" s="190">
        <f t="shared" si="7"/>
        <v>6.92976646357</v>
      </c>
      <c r="F35" s="190">
        <f t="shared" si="7"/>
        <v>6.9102480587800006</v>
      </c>
      <c r="G35" s="190">
        <f t="shared" si="7"/>
        <v>6.9001995992899996</v>
      </c>
      <c r="H35" s="190">
        <f t="shared" si="7"/>
        <v>6.8885424066300018</v>
      </c>
      <c r="I35" s="190">
        <f t="shared" si="7"/>
        <v>6.9222293360299991</v>
      </c>
      <c r="J35" s="190">
        <f t="shared" si="7"/>
        <v>6.91647979658</v>
      </c>
      <c r="K35" s="15"/>
      <c r="L35" s="15"/>
      <c r="M35" s="15"/>
    </row>
    <row r="36" spans="1:13" ht="13.8" outlineLevel="4" x14ac:dyDescent="0.3">
      <c r="A36" s="189" t="s">
        <v>35</v>
      </c>
      <c r="B36" s="190">
        <v>2.1821977919999999E-2</v>
      </c>
      <c r="C36" s="190">
        <v>2.1958615850000002E-2</v>
      </c>
      <c r="D36" s="190">
        <v>2.1817253500000001E-2</v>
      </c>
      <c r="E36" s="190">
        <v>2.190542178E-2</v>
      </c>
      <c r="F36" s="190">
        <v>2.1950362229999999E-2</v>
      </c>
      <c r="G36" s="190">
        <v>2.19429729E-2</v>
      </c>
      <c r="H36" s="190">
        <v>2.2055420539999999E-2</v>
      </c>
      <c r="I36" s="190">
        <v>2.2185998589999999E-2</v>
      </c>
      <c r="J36" s="190">
        <v>2.2184847349999998E-2</v>
      </c>
      <c r="K36" s="15"/>
      <c r="L36" s="15"/>
      <c r="M36" s="15"/>
    </row>
    <row r="37" spans="1:13" ht="13.8" outlineLevel="4" x14ac:dyDescent="0.3">
      <c r="A37" s="189" t="s">
        <v>36</v>
      </c>
      <c r="B37" s="190">
        <v>0.2</v>
      </c>
      <c r="C37" s="190">
        <v>0.2</v>
      </c>
      <c r="D37" s="190">
        <v>0.2</v>
      </c>
      <c r="E37" s="190">
        <v>0.2</v>
      </c>
      <c r="F37" s="190">
        <v>0.2</v>
      </c>
      <c r="G37" s="190">
        <v>0.2</v>
      </c>
      <c r="H37" s="190">
        <v>0.2</v>
      </c>
      <c r="I37" s="190">
        <v>0.2</v>
      </c>
      <c r="J37" s="190">
        <v>0.2</v>
      </c>
      <c r="K37" s="15"/>
      <c r="L37" s="15"/>
      <c r="M37" s="15"/>
    </row>
    <row r="38" spans="1:13" ht="13.8" outlineLevel="4" x14ac:dyDescent="0.3">
      <c r="A38" s="189" t="s">
        <v>37</v>
      </c>
      <c r="B38" s="190">
        <v>4.52135099802</v>
      </c>
      <c r="C38" s="190">
        <v>4.5016772536799996</v>
      </c>
      <c r="D38" s="190">
        <v>4.5115935019800002</v>
      </c>
      <c r="E38" s="190">
        <v>4.5626607878199996</v>
      </c>
      <c r="F38" s="190">
        <v>4.5529203226300003</v>
      </c>
      <c r="G38" s="190">
        <v>4.5322247462899998</v>
      </c>
      <c r="H38" s="190">
        <v>4.5094397718200003</v>
      </c>
      <c r="I38" s="190">
        <v>4.5313180417199996</v>
      </c>
      <c r="J38" s="190">
        <v>4.5223509039399996</v>
      </c>
      <c r="K38" s="15"/>
      <c r="L38" s="15"/>
      <c r="M38" s="15"/>
    </row>
    <row r="39" spans="1:13" ht="13.8" outlineLevel="4" x14ac:dyDescent="0.3">
      <c r="A39" s="189" t="s">
        <v>38</v>
      </c>
      <c r="B39" s="190">
        <v>0.2</v>
      </c>
      <c r="C39" s="190">
        <v>0.2</v>
      </c>
      <c r="D39" s="190">
        <v>0.2</v>
      </c>
      <c r="E39" s="190">
        <v>0.2</v>
      </c>
      <c r="F39" s="190">
        <v>0.2</v>
      </c>
      <c r="G39" s="190">
        <v>0.2</v>
      </c>
      <c r="H39" s="190">
        <v>0.2</v>
      </c>
      <c r="I39" s="190">
        <v>0.2</v>
      </c>
      <c r="J39" s="190">
        <v>0.2</v>
      </c>
      <c r="K39" s="15"/>
      <c r="L39" s="15"/>
      <c r="M39" s="15"/>
    </row>
    <row r="40" spans="1:13" ht="13.8" outlineLevel="4" x14ac:dyDescent="0.3">
      <c r="A40" s="189" t="s">
        <v>39</v>
      </c>
      <c r="B40" s="190">
        <v>0.56620331558000003</v>
      </c>
      <c r="C40" s="190">
        <v>0.56620331558000003</v>
      </c>
      <c r="D40" s="190">
        <v>0.56722683258999995</v>
      </c>
      <c r="E40" s="190">
        <v>0.56722683258999995</v>
      </c>
      <c r="F40" s="190">
        <v>0.56722683258999995</v>
      </c>
      <c r="G40" s="190">
        <v>0.56786359416999999</v>
      </c>
      <c r="H40" s="190">
        <v>0.56786359416999999</v>
      </c>
      <c r="I40" s="190">
        <v>0.56805983764000001</v>
      </c>
      <c r="J40" s="190">
        <v>0.56880510896000003</v>
      </c>
      <c r="K40" s="15"/>
      <c r="L40" s="15"/>
      <c r="M40" s="15"/>
    </row>
    <row r="41" spans="1:13" ht="13.8" outlineLevel="4" x14ac:dyDescent="0.3">
      <c r="A41" s="189" t="s">
        <v>40</v>
      </c>
      <c r="B41" s="190">
        <v>0.1120631207</v>
      </c>
      <c r="C41" s="190">
        <v>0.1120631207</v>
      </c>
      <c r="D41" s="190">
        <v>0.1120631207</v>
      </c>
      <c r="E41" s="190">
        <v>0.11182148706</v>
      </c>
      <c r="F41" s="190">
        <v>0.11555040006</v>
      </c>
      <c r="G41" s="190">
        <v>0.11559694013000001</v>
      </c>
      <c r="H41" s="190">
        <v>0.12059294013000001</v>
      </c>
      <c r="I41" s="190">
        <v>0.12146338055</v>
      </c>
      <c r="J41" s="190">
        <v>0.12146338055</v>
      </c>
      <c r="K41" s="15"/>
      <c r="L41" s="15"/>
      <c r="M41" s="15"/>
    </row>
    <row r="42" spans="1:13" ht="13.8" outlineLevel="4" x14ac:dyDescent="0.3">
      <c r="A42" s="189" t="s">
        <v>41</v>
      </c>
      <c r="B42" s="190">
        <v>8.5019606270000006E-2</v>
      </c>
      <c r="C42" s="190">
        <v>8.3619002270000006E-2</v>
      </c>
      <c r="D42" s="190">
        <v>8.4681250540000003E-2</v>
      </c>
      <c r="E42" s="190">
        <v>8.7047302549999997E-2</v>
      </c>
      <c r="F42" s="190">
        <v>8.546286082E-2</v>
      </c>
      <c r="G42" s="190">
        <v>8.6058483990000004E-2</v>
      </c>
      <c r="H42" s="190">
        <v>8.765002375E-2</v>
      </c>
      <c r="I42" s="190">
        <v>8.7161114550000002E-2</v>
      </c>
      <c r="J42" s="190">
        <v>8.5871543009999995E-2</v>
      </c>
      <c r="K42" s="15"/>
      <c r="L42" s="15"/>
      <c r="M42" s="15"/>
    </row>
    <row r="43" spans="1:13" ht="13.8" outlineLevel="4" x14ac:dyDescent="0.3">
      <c r="A43" s="189" t="s">
        <v>42</v>
      </c>
      <c r="B43" s="190">
        <v>4.3573845000000001E-4</v>
      </c>
      <c r="C43" s="190">
        <v>4.2856014000000001E-4</v>
      </c>
      <c r="D43" s="190">
        <v>4.3400433999999998E-4</v>
      </c>
      <c r="E43" s="190">
        <v>4.4613071000000002E-4</v>
      </c>
      <c r="F43" s="190">
        <v>4.3801019999999998E-4</v>
      </c>
      <c r="G43" s="190">
        <v>4.4106286999999998E-4</v>
      </c>
      <c r="H43" s="190">
        <v>4.4921974000000002E-4</v>
      </c>
      <c r="I43" s="190">
        <v>4.4671400999999998E-4</v>
      </c>
      <c r="J43" s="190">
        <v>4.4010476999999999E-4</v>
      </c>
      <c r="K43" s="15"/>
      <c r="L43" s="15"/>
      <c r="M43" s="15"/>
    </row>
    <row r="44" spans="1:13" ht="13.8" outlineLevel="4" x14ac:dyDescent="0.3">
      <c r="A44" s="189" t="s">
        <v>43</v>
      </c>
      <c r="B44" s="190">
        <v>0.44456468052999998</v>
      </c>
      <c r="C44" s="190">
        <v>0.44456468052999998</v>
      </c>
      <c r="D44" s="190">
        <v>0.44574196028000002</v>
      </c>
      <c r="E44" s="190">
        <v>0.45084765455999998</v>
      </c>
      <c r="F44" s="190">
        <v>0.45365156909999999</v>
      </c>
      <c r="G44" s="190">
        <v>0.45628285785</v>
      </c>
      <c r="H44" s="190">
        <v>0.45813779763000001</v>
      </c>
      <c r="I44" s="190">
        <v>0.46966856548000002</v>
      </c>
      <c r="J44" s="190">
        <v>0.46966856548000002</v>
      </c>
      <c r="K44" s="15"/>
      <c r="L44" s="15"/>
      <c r="M44" s="15"/>
    </row>
    <row r="45" spans="1:13" ht="13.8" outlineLevel="4" x14ac:dyDescent="0.3">
      <c r="A45" s="189" t="s">
        <v>44</v>
      </c>
      <c r="B45" s="190">
        <v>0.72708149908999997</v>
      </c>
      <c r="C45" s="190">
        <v>0.72756328440999996</v>
      </c>
      <c r="D45" s="190">
        <v>0.72356072706999996</v>
      </c>
      <c r="E45" s="190">
        <v>0.72781084650000005</v>
      </c>
      <c r="F45" s="190">
        <v>0.71304770115000005</v>
      </c>
      <c r="G45" s="190">
        <v>0.71978894109000002</v>
      </c>
      <c r="H45" s="190">
        <v>0.72235363885000003</v>
      </c>
      <c r="I45" s="190">
        <v>0.72192568348999997</v>
      </c>
      <c r="J45" s="190">
        <v>0.72569534252000001</v>
      </c>
      <c r="K45" s="15"/>
      <c r="L45" s="15"/>
      <c r="M45" s="15"/>
    </row>
    <row r="46" spans="1:13" ht="13.8" outlineLevel="3" x14ac:dyDescent="0.3">
      <c r="A46" s="191" t="s">
        <v>45</v>
      </c>
      <c r="B46" s="190">
        <f t="shared" ref="B46:J46" si="8">SUM(B$47:B$47)</f>
        <v>0.51509626673999998</v>
      </c>
      <c r="C46" s="190">
        <f t="shared" si="8"/>
        <v>0.50661062532000001</v>
      </c>
      <c r="D46" s="190">
        <f t="shared" si="8"/>
        <v>0.51304631870999995</v>
      </c>
      <c r="E46" s="190">
        <f t="shared" si="8"/>
        <v>0.52738118345999996</v>
      </c>
      <c r="F46" s="190">
        <f t="shared" si="8"/>
        <v>0.51778175040999996</v>
      </c>
      <c r="G46" s="190">
        <f t="shared" si="8"/>
        <v>0.52139036826999996</v>
      </c>
      <c r="H46" s="190">
        <f t="shared" si="8"/>
        <v>0.53103280515999995</v>
      </c>
      <c r="I46" s="190">
        <f t="shared" si="8"/>
        <v>0.52807072012</v>
      </c>
      <c r="J46" s="190">
        <f t="shared" si="8"/>
        <v>0.52025777539999996</v>
      </c>
      <c r="K46" s="15"/>
      <c r="L46" s="15"/>
      <c r="M46" s="15"/>
    </row>
    <row r="47" spans="1:13" ht="13.8" outlineLevel="4" x14ac:dyDescent="0.3">
      <c r="A47" s="189" t="s">
        <v>46</v>
      </c>
      <c r="B47" s="190">
        <v>0.51509626673999998</v>
      </c>
      <c r="C47" s="190">
        <v>0.50661062532000001</v>
      </c>
      <c r="D47" s="190">
        <v>0.51304631870999995</v>
      </c>
      <c r="E47" s="190">
        <v>0.52738118345999996</v>
      </c>
      <c r="F47" s="190">
        <v>0.51778175040999996</v>
      </c>
      <c r="G47" s="190">
        <v>0.52139036826999996</v>
      </c>
      <c r="H47" s="190">
        <v>0.53103280515999995</v>
      </c>
      <c r="I47" s="190">
        <v>0.52807072012</v>
      </c>
      <c r="J47" s="190">
        <v>0.52025777539999996</v>
      </c>
      <c r="K47" s="15"/>
      <c r="L47" s="15"/>
      <c r="M47" s="15"/>
    </row>
    <row r="48" spans="1:13" ht="13.8" outlineLevel="3" x14ac:dyDescent="0.3">
      <c r="A48" s="191" t="s">
        <v>47</v>
      </c>
      <c r="B48" s="190">
        <f t="shared" ref="B48:J48" si="9">SUM(B$49:B$54)</f>
        <v>1.8197134937400004</v>
      </c>
      <c r="C48" s="190">
        <f t="shared" si="9"/>
        <v>1.8240768238100002</v>
      </c>
      <c r="D48" s="190">
        <f t="shared" si="9"/>
        <v>1.7940011380300003</v>
      </c>
      <c r="E48" s="190">
        <f t="shared" si="9"/>
        <v>1.8312088150899999</v>
      </c>
      <c r="F48" s="190">
        <f t="shared" si="9"/>
        <v>1.8502503064900002</v>
      </c>
      <c r="G48" s="190">
        <f t="shared" si="9"/>
        <v>1.8996969235500003</v>
      </c>
      <c r="H48" s="190">
        <f t="shared" si="9"/>
        <v>1.87471087691</v>
      </c>
      <c r="I48" s="190">
        <f t="shared" si="9"/>
        <v>1.8795684009000002</v>
      </c>
      <c r="J48" s="190">
        <f t="shared" si="9"/>
        <v>1.9038590604300001</v>
      </c>
      <c r="K48" s="15"/>
      <c r="L48" s="15"/>
      <c r="M48" s="15"/>
    </row>
    <row r="49" spans="1:13" ht="13.8" outlineLevel="4" x14ac:dyDescent="0.3">
      <c r="A49" s="189" t="s">
        <v>48</v>
      </c>
      <c r="B49" s="190">
        <v>0.65</v>
      </c>
      <c r="C49" s="190">
        <v>0.65</v>
      </c>
      <c r="D49" s="190">
        <v>0.65</v>
      </c>
      <c r="E49" s="190">
        <v>0.65</v>
      </c>
      <c r="F49" s="190">
        <v>0.65</v>
      </c>
      <c r="G49" s="190">
        <v>0.65</v>
      </c>
      <c r="H49" s="190">
        <v>0.65</v>
      </c>
      <c r="I49" s="190">
        <v>0.65</v>
      </c>
      <c r="J49" s="190">
        <v>0.65</v>
      </c>
      <c r="K49" s="15"/>
      <c r="L49" s="15"/>
      <c r="M49" s="15"/>
    </row>
    <row r="50" spans="1:13" ht="24.75" customHeight="1" outlineLevel="4" x14ac:dyDescent="0.3">
      <c r="A50" s="189" t="s">
        <v>49</v>
      </c>
      <c r="B50" s="190">
        <v>5.1129199999999998E-5</v>
      </c>
      <c r="C50" s="190">
        <v>5.1129199999999998E-5</v>
      </c>
      <c r="D50" s="190">
        <v>5.1129199999999998E-5</v>
      </c>
      <c r="E50" s="190">
        <v>5.1129199999999998E-5</v>
      </c>
      <c r="F50" s="190">
        <v>5.1129199999999998E-5</v>
      </c>
      <c r="G50" s="190">
        <v>5.1129199999999998E-5</v>
      </c>
      <c r="H50" s="190">
        <v>5.1129199999999998E-5</v>
      </c>
      <c r="I50" s="190">
        <v>5.1129199999999998E-5</v>
      </c>
      <c r="J50" s="190">
        <v>5.1129199999999998E-5</v>
      </c>
      <c r="K50" s="15"/>
      <c r="L50" s="15"/>
      <c r="M50" s="15"/>
    </row>
    <row r="51" spans="1:13" ht="13.8" outlineLevel="4" x14ac:dyDescent="0.3">
      <c r="A51" s="189" t="s">
        <v>50</v>
      </c>
      <c r="B51" s="190">
        <v>0.54479187672999996</v>
      </c>
      <c r="C51" s="190">
        <v>0.54814016058000004</v>
      </c>
      <c r="D51" s="190">
        <v>0.54467610591000004</v>
      </c>
      <c r="E51" s="190">
        <v>0.59104598489000004</v>
      </c>
      <c r="F51" s="190">
        <v>0.59223793949000003</v>
      </c>
      <c r="G51" s="190">
        <v>0.64765406134000003</v>
      </c>
      <c r="H51" s="190">
        <v>0.65025149248000003</v>
      </c>
      <c r="I51" s="190">
        <v>0.65403479039000001</v>
      </c>
      <c r="J51" s="190">
        <v>0.70836493834000003</v>
      </c>
      <c r="K51" s="15"/>
      <c r="L51" s="15"/>
      <c r="M51" s="15"/>
    </row>
    <row r="52" spans="1:13" ht="13.8" outlineLevel="4" x14ac:dyDescent="0.3">
      <c r="A52" s="189" t="s">
        <v>51</v>
      </c>
      <c r="B52" s="190">
        <v>0.14609807548000001</v>
      </c>
      <c r="C52" s="190">
        <v>0.14609807548000001</v>
      </c>
      <c r="D52" s="190">
        <v>0.14462365208</v>
      </c>
      <c r="E52" s="190">
        <v>0.13480647188</v>
      </c>
      <c r="F52" s="190">
        <v>0.13480647188</v>
      </c>
      <c r="G52" s="190">
        <v>0.12889775682999999</v>
      </c>
      <c r="H52" s="190">
        <v>0.12506477063999999</v>
      </c>
      <c r="I52" s="190">
        <v>0.12506477063999999</v>
      </c>
      <c r="J52" s="190">
        <v>0.11912181824</v>
      </c>
      <c r="K52" s="15"/>
      <c r="L52" s="15"/>
      <c r="M52" s="15"/>
    </row>
    <row r="53" spans="1:13" ht="13.8" outlineLevel="4" x14ac:dyDescent="0.3">
      <c r="A53" s="189" t="s">
        <v>52</v>
      </c>
      <c r="B53" s="190">
        <v>0.31666284158000002</v>
      </c>
      <c r="C53" s="190">
        <v>0.31666284158000002</v>
      </c>
      <c r="D53" s="190">
        <v>0.29257577648999999</v>
      </c>
      <c r="E53" s="190">
        <v>0.29257577648999999</v>
      </c>
      <c r="F53" s="190">
        <v>0.29257577648999999</v>
      </c>
      <c r="G53" s="190">
        <v>0.29257577648999999</v>
      </c>
      <c r="H53" s="190">
        <v>0.26790021216999998</v>
      </c>
      <c r="I53" s="190">
        <v>0.26790021216999998</v>
      </c>
      <c r="J53" s="190">
        <v>0.24381314707999999</v>
      </c>
      <c r="K53" s="15"/>
      <c r="L53" s="15"/>
      <c r="M53" s="15"/>
    </row>
    <row r="54" spans="1:13" ht="13.8" outlineLevel="4" x14ac:dyDescent="0.3">
      <c r="A54" s="189" t="s">
        <v>53</v>
      </c>
      <c r="B54" s="190">
        <v>0.16210957074999999</v>
      </c>
      <c r="C54" s="190">
        <v>0.16312461697</v>
      </c>
      <c r="D54" s="190">
        <v>0.16207447435</v>
      </c>
      <c r="E54" s="190">
        <v>0.16272945262999999</v>
      </c>
      <c r="F54" s="190">
        <v>0.18057898943</v>
      </c>
      <c r="G54" s="190">
        <v>0.18051819968999999</v>
      </c>
      <c r="H54" s="190">
        <v>0.18144327242</v>
      </c>
      <c r="I54" s="190">
        <v>0.18251749850000001</v>
      </c>
      <c r="J54" s="190">
        <v>0.18250802757000001</v>
      </c>
      <c r="K54" s="15"/>
      <c r="L54" s="15"/>
      <c r="M54" s="15"/>
    </row>
    <row r="55" spans="1:13" ht="13.8" outlineLevel="3" x14ac:dyDescent="0.3">
      <c r="A55" s="191" t="s">
        <v>54</v>
      </c>
      <c r="B55" s="190">
        <f t="shared" ref="B55:J55" si="10">SUM(B$56:B$57)</f>
        <v>15.94172030451</v>
      </c>
      <c r="C55" s="190">
        <f t="shared" si="10"/>
        <v>15.679098090509999</v>
      </c>
      <c r="D55" s="190">
        <f t="shared" si="10"/>
        <v>15.87827643944</v>
      </c>
      <c r="E55" s="190">
        <f t="shared" si="10"/>
        <v>16.32192633404</v>
      </c>
      <c r="F55" s="190">
        <f t="shared" si="10"/>
        <v>16.02483336965</v>
      </c>
      <c r="G55" s="190">
        <f t="shared" si="10"/>
        <v>16.136516525649998</v>
      </c>
      <c r="H55" s="190">
        <f t="shared" si="10"/>
        <v>16.434940416</v>
      </c>
      <c r="I55" s="190">
        <f t="shared" si="10"/>
        <v>16.343266811940001</v>
      </c>
      <c r="J55" s="190">
        <f t="shared" si="10"/>
        <v>16.101463895790001</v>
      </c>
      <c r="K55" s="15"/>
      <c r="L55" s="15"/>
      <c r="M55" s="15"/>
    </row>
    <row r="56" spans="1:13" ht="13.8" outlineLevel="4" x14ac:dyDescent="0.3">
      <c r="A56" s="189" t="s">
        <v>61</v>
      </c>
      <c r="B56" s="190">
        <v>12.9680190208</v>
      </c>
      <c r="C56" s="190">
        <v>12.7543852472</v>
      </c>
      <c r="D56" s="190">
        <v>12.9164097068</v>
      </c>
      <c r="E56" s="190">
        <v>13.277303020810001</v>
      </c>
      <c r="F56" s="190">
        <v>13.03562852524</v>
      </c>
      <c r="G56" s="190">
        <v>13.12647877625</v>
      </c>
      <c r="H56" s="190">
        <v>13.36923593247</v>
      </c>
      <c r="I56" s="190">
        <v>13.29466273595</v>
      </c>
      <c r="J56" s="190">
        <v>13.09796471616</v>
      </c>
      <c r="K56" s="15"/>
      <c r="L56" s="15"/>
      <c r="M56" s="15"/>
    </row>
    <row r="57" spans="1:13" ht="13.8" outlineLevel="4" x14ac:dyDescent="0.3">
      <c r="A57" s="189" t="s">
        <v>62</v>
      </c>
      <c r="B57" s="190">
        <v>2.9737012837100001</v>
      </c>
      <c r="C57" s="190">
        <v>2.92471284331</v>
      </c>
      <c r="D57" s="190">
        <v>2.9618667326399999</v>
      </c>
      <c r="E57" s="190">
        <v>3.0446233132299998</v>
      </c>
      <c r="F57" s="190">
        <v>2.9892048444100001</v>
      </c>
      <c r="G57" s="190">
        <v>3.0100377493999999</v>
      </c>
      <c r="H57" s="190">
        <v>3.0657044835299998</v>
      </c>
      <c r="I57" s="190">
        <v>3.0486040759900002</v>
      </c>
      <c r="J57" s="190">
        <v>3.0034991796299999</v>
      </c>
      <c r="K57" s="15"/>
      <c r="L57" s="15"/>
      <c r="M57" s="15"/>
    </row>
    <row r="58" spans="1:13" ht="13.8" outlineLevel="3" x14ac:dyDescent="0.3">
      <c r="A58" s="191" t="s">
        <v>63</v>
      </c>
      <c r="B58" s="190">
        <f t="shared" ref="B58:J58" si="11">SUM(B$59:B$59)</f>
        <v>2.5505881880999999</v>
      </c>
      <c r="C58" s="190">
        <f t="shared" si="11"/>
        <v>2.50857006809</v>
      </c>
      <c r="D58" s="190">
        <f t="shared" si="11"/>
        <v>2.5404375161699999</v>
      </c>
      <c r="E58" s="190">
        <f t="shared" si="11"/>
        <v>2.6114190764499998</v>
      </c>
      <c r="F58" s="190">
        <f t="shared" si="11"/>
        <v>2.5638858246299998</v>
      </c>
      <c r="G58" s="190">
        <f t="shared" si="11"/>
        <v>2.58175451967</v>
      </c>
      <c r="H58" s="190">
        <f t="shared" si="11"/>
        <v>2.62950071237</v>
      </c>
      <c r="I58" s="190">
        <f t="shared" si="11"/>
        <v>2.6148334363700001</v>
      </c>
      <c r="J58" s="190">
        <f t="shared" si="11"/>
        <v>2.5761462903100001</v>
      </c>
      <c r="K58" s="15"/>
      <c r="L58" s="15"/>
      <c r="M58" s="15"/>
    </row>
    <row r="59" spans="1:13" ht="13.8" outlineLevel="4" x14ac:dyDescent="0.3">
      <c r="A59" s="189" t="s">
        <v>64</v>
      </c>
      <c r="B59" s="190">
        <v>2.5505881880999999</v>
      </c>
      <c r="C59" s="190">
        <v>2.50857006809</v>
      </c>
      <c r="D59" s="190">
        <v>2.5404375161699999</v>
      </c>
      <c r="E59" s="190">
        <v>2.6114190764499998</v>
      </c>
      <c r="F59" s="190">
        <v>2.5638858246299998</v>
      </c>
      <c r="G59" s="190">
        <v>2.58175451967</v>
      </c>
      <c r="H59" s="190">
        <v>2.62950071237</v>
      </c>
      <c r="I59" s="190">
        <v>2.6148334363700001</v>
      </c>
      <c r="J59" s="190">
        <v>2.5761462903100001</v>
      </c>
      <c r="K59" s="15"/>
      <c r="L59" s="15"/>
      <c r="M59" s="15"/>
    </row>
    <row r="60" spans="1:13" ht="13.8" outlineLevel="3" x14ac:dyDescent="0.3">
      <c r="A60" s="191" t="s">
        <v>65</v>
      </c>
      <c r="B60" s="190">
        <f t="shared" ref="B60:J60" si="12">SUM(B$61:B$61)</f>
        <v>3.6749315839099999</v>
      </c>
      <c r="C60" s="190">
        <f t="shared" si="12"/>
        <v>3.6470309945300001</v>
      </c>
      <c r="D60" s="190">
        <f t="shared" si="12"/>
        <v>3.67437093816</v>
      </c>
      <c r="E60" s="190">
        <f t="shared" si="12"/>
        <v>3.72655202803</v>
      </c>
      <c r="F60" s="190">
        <f t="shared" si="12"/>
        <v>3.70087255855</v>
      </c>
      <c r="G60" s="190">
        <f t="shared" si="12"/>
        <v>3.7178000077800002</v>
      </c>
      <c r="H60" s="190">
        <f t="shared" si="12"/>
        <v>3.7515611350800002</v>
      </c>
      <c r="I60" s="190">
        <f t="shared" si="12"/>
        <v>3.7514729418199999</v>
      </c>
      <c r="J60" s="190">
        <f t="shared" si="12"/>
        <v>3.7100591239399998</v>
      </c>
      <c r="K60" s="15"/>
      <c r="L60" s="15"/>
      <c r="M60" s="15"/>
    </row>
    <row r="61" spans="1:13" ht="13.8" outlineLevel="4" x14ac:dyDescent="0.3">
      <c r="A61" s="189" t="s">
        <v>32</v>
      </c>
      <c r="B61" s="190">
        <v>3.6749315839099999</v>
      </c>
      <c r="C61" s="190">
        <v>3.6470309945300001</v>
      </c>
      <c r="D61" s="190">
        <v>3.67437093816</v>
      </c>
      <c r="E61" s="190">
        <v>3.72655202803</v>
      </c>
      <c r="F61" s="190">
        <v>3.70087255855</v>
      </c>
      <c r="G61" s="190">
        <v>3.7178000077800002</v>
      </c>
      <c r="H61" s="190">
        <v>3.7515611350800002</v>
      </c>
      <c r="I61" s="190">
        <v>3.7514729418199999</v>
      </c>
      <c r="J61" s="190">
        <v>3.7100591239399998</v>
      </c>
      <c r="K61" s="15"/>
      <c r="L61" s="15"/>
      <c r="M61" s="15"/>
    </row>
    <row r="62" spans="1:13" ht="14.4" outlineLevel="1" x14ac:dyDescent="0.3">
      <c r="A62" s="194" t="s">
        <v>2</v>
      </c>
      <c r="B62" s="195">
        <f t="shared" ref="B62:J62" si="13">B$63+B$77</f>
        <v>5.5495873626400005</v>
      </c>
      <c r="C62" s="195">
        <f t="shared" si="13"/>
        <v>5.441621379539999</v>
      </c>
      <c r="D62" s="195">
        <f t="shared" si="13"/>
        <v>5.302380456309999</v>
      </c>
      <c r="E62" s="195">
        <f t="shared" si="13"/>
        <v>5.1669572861299997</v>
      </c>
      <c r="F62" s="195">
        <f t="shared" si="13"/>
        <v>5.0282898746999996</v>
      </c>
      <c r="G62" s="195">
        <f t="shared" si="13"/>
        <v>5.0752449723200002</v>
      </c>
      <c r="H62" s="195">
        <f t="shared" si="13"/>
        <v>5.1221157983600012</v>
      </c>
      <c r="I62" s="195">
        <f t="shared" si="13"/>
        <v>5.0894254158300001</v>
      </c>
      <c r="J62" s="195">
        <f t="shared" si="13"/>
        <v>4.9693600774000002</v>
      </c>
      <c r="K62" s="15"/>
      <c r="L62" s="15"/>
      <c r="M62" s="15"/>
    </row>
    <row r="63" spans="1:13" ht="14.4" outlineLevel="2" x14ac:dyDescent="0.3">
      <c r="A63" s="192" t="s">
        <v>3</v>
      </c>
      <c r="B63" s="193">
        <f t="shared" ref="B63:J63" si="14">B$64+B$67+B$75</f>
        <v>1.28958930447</v>
      </c>
      <c r="C63" s="193">
        <f t="shared" si="14"/>
        <v>1.2240734721800002</v>
      </c>
      <c r="D63" s="193">
        <f t="shared" si="14"/>
        <v>1.22852722409</v>
      </c>
      <c r="E63" s="193">
        <f t="shared" si="14"/>
        <v>1.2555725936200002</v>
      </c>
      <c r="F63" s="193">
        <f t="shared" si="14"/>
        <v>1.2526688198899998</v>
      </c>
      <c r="G63" s="193">
        <f t="shared" si="14"/>
        <v>1.2583248710100001</v>
      </c>
      <c r="H63" s="193">
        <f t="shared" si="14"/>
        <v>1.2641765171500001</v>
      </c>
      <c r="I63" s="193">
        <f t="shared" si="14"/>
        <v>1.23996329827</v>
      </c>
      <c r="J63" s="193">
        <f t="shared" si="14"/>
        <v>1.1914594964999998</v>
      </c>
      <c r="K63" s="15"/>
      <c r="L63" s="15"/>
      <c r="M63" s="15"/>
    </row>
    <row r="64" spans="1:13" ht="13.8" outlineLevel="3" x14ac:dyDescent="0.3">
      <c r="A64" s="191" t="s">
        <v>4</v>
      </c>
      <c r="B64" s="190">
        <f t="shared" ref="B64:J64" si="15">SUM(B$65:B$66)</f>
        <v>4.964270657E-2</v>
      </c>
      <c r="C64" s="190">
        <f t="shared" si="15"/>
        <v>4.8300166080000005E-2</v>
      </c>
      <c r="D64" s="190">
        <f t="shared" si="15"/>
        <v>4.8506432209999999E-2</v>
      </c>
      <c r="E64" s="190">
        <f t="shared" si="15"/>
        <v>4.9192972690000003E-2</v>
      </c>
      <c r="F64" s="190">
        <f t="shared" si="15"/>
        <v>4.7983660429999998E-2</v>
      </c>
      <c r="G64" s="190">
        <f t="shared" si="15"/>
        <v>4.8117994480000002E-2</v>
      </c>
      <c r="H64" s="190">
        <f t="shared" si="15"/>
        <v>4.8371341630000002E-2</v>
      </c>
      <c r="I64" s="190">
        <f t="shared" si="15"/>
        <v>4.8269645649999998E-2</v>
      </c>
      <c r="J64" s="190">
        <f t="shared" si="15"/>
        <v>4.7706100950000004E-2</v>
      </c>
      <c r="K64" s="15"/>
      <c r="L64" s="15"/>
      <c r="M64" s="15"/>
    </row>
    <row r="65" spans="1:13" ht="13.8" outlineLevel="4" x14ac:dyDescent="0.3">
      <c r="A65" s="189" t="s">
        <v>66</v>
      </c>
      <c r="B65" s="190">
        <v>2.3267E-7</v>
      </c>
      <c r="C65" s="190">
        <v>2.2637999999999999E-7</v>
      </c>
      <c r="D65" s="190">
        <v>2.2734E-7</v>
      </c>
      <c r="E65" s="190">
        <v>2.3055999999999999E-7</v>
      </c>
      <c r="F65" s="190">
        <v>2.2489E-7</v>
      </c>
      <c r="G65" s="190">
        <v>2.2552E-7</v>
      </c>
      <c r="H65" s="190">
        <v>2.2671E-7</v>
      </c>
      <c r="I65" s="190">
        <v>2.2623000000000001E-7</v>
      </c>
      <c r="J65" s="190">
        <v>2.2359000000000001E-7</v>
      </c>
      <c r="K65" s="15"/>
      <c r="L65" s="15"/>
      <c r="M65" s="15"/>
    </row>
    <row r="66" spans="1:13" ht="13.8" outlineLevel="4" x14ac:dyDescent="0.3">
      <c r="A66" s="189" t="s">
        <v>67</v>
      </c>
      <c r="B66" s="190">
        <v>4.9642473899999998E-2</v>
      </c>
      <c r="C66" s="190">
        <v>4.8299939700000002E-2</v>
      </c>
      <c r="D66" s="190">
        <v>4.850620487E-2</v>
      </c>
      <c r="E66" s="190">
        <v>4.9192742130000001E-2</v>
      </c>
      <c r="F66" s="190">
        <v>4.7983435540000001E-2</v>
      </c>
      <c r="G66" s="190">
        <v>4.8117768960000001E-2</v>
      </c>
      <c r="H66" s="190">
        <v>4.837111492E-2</v>
      </c>
      <c r="I66" s="190">
        <v>4.8269419420000001E-2</v>
      </c>
      <c r="J66" s="190">
        <v>4.7705877360000003E-2</v>
      </c>
      <c r="K66" s="15"/>
      <c r="L66" s="15"/>
      <c r="M66" s="15"/>
    </row>
    <row r="67" spans="1:13" ht="13.8" outlineLevel="3" x14ac:dyDescent="0.3">
      <c r="A67" s="191" t="s">
        <v>20</v>
      </c>
      <c r="B67" s="190">
        <f t="shared" ref="B67:J67" si="16">SUM(B$68:B$74)</f>
        <v>1.2399274499499999</v>
      </c>
      <c r="C67" s="190">
        <f t="shared" si="16"/>
        <v>1.1757546759800002</v>
      </c>
      <c r="D67" s="190">
        <f t="shared" si="16"/>
        <v>1.1800020822000001</v>
      </c>
      <c r="E67" s="190">
        <f t="shared" si="16"/>
        <v>1.2063606464400001</v>
      </c>
      <c r="F67" s="190">
        <f t="shared" si="16"/>
        <v>1.20466665142</v>
      </c>
      <c r="G67" s="190">
        <f t="shared" si="16"/>
        <v>1.21018831668</v>
      </c>
      <c r="H67" s="190">
        <f t="shared" si="16"/>
        <v>1.21578651795</v>
      </c>
      <c r="I67" s="190">
        <f t="shared" si="16"/>
        <v>1.19167503428</v>
      </c>
      <c r="J67" s="190">
        <f t="shared" si="16"/>
        <v>1.1437349945699999</v>
      </c>
      <c r="K67" s="15"/>
      <c r="L67" s="15"/>
      <c r="M67" s="15"/>
    </row>
    <row r="68" spans="1:13" ht="13.8" outlineLevel="4" x14ac:dyDescent="0.3">
      <c r="A68" s="189" t="s">
        <v>72</v>
      </c>
      <c r="B68" s="190">
        <v>3.0532643969999999E-2</v>
      </c>
      <c r="C68" s="190">
        <v>2.8283604050000001E-2</v>
      </c>
      <c r="D68" s="190">
        <v>2.7367704869999999E-2</v>
      </c>
      <c r="E68" s="190">
        <v>2.8942833769999999E-2</v>
      </c>
      <c r="F68" s="190">
        <v>2.8907599650000001E-2</v>
      </c>
      <c r="G68" s="190">
        <v>2.960802064E-2</v>
      </c>
      <c r="H68" s="190">
        <v>2.817369833E-2</v>
      </c>
      <c r="I68" s="190">
        <v>2.7361807530000001E-2</v>
      </c>
      <c r="J68" s="190">
        <v>2.6630726939999998E-2</v>
      </c>
      <c r="K68" s="15"/>
      <c r="L68" s="15"/>
      <c r="M68" s="15"/>
    </row>
    <row r="69" spans="1:13" ht="13.8" outlineLevel="4" x14ac:dyDescent="0.3">
      <c r="A69" s="189" t="s">
        <v>73</v>
      </c>
      <c r="B69" s="190">
        <v>2.4561219899999999E-3</v>
      </c>
      <c r="C69" s="190">
        <v>2.1137025800000001E-3</v>
      </c>
      <c r="D69" s="190">
        <v>1.8347604600000001E-3</v>
      </c>
      <c r="E69" s="190">
        <v>1.57168744E-3</v>
      </c>
      <c r="F69" s="190">
        <v>1.2344635799999999E-3</v>
      </c>
      <c r="G69" s="190">
        <v>9.3230026999999995E-4</v>
      </c>
      <c r="H69" s="190">
        <v>6.3302797999999997E-4</v>
      </c>
      <c r="I69" s="190">
        <v>3.1474850000000001E-4</v>
      </c>
      <c r="J69" s="190">
        <v>0</v>
      </c>
      <c r="K69" s="15"/>
      <c r="L69" s="15"/>
      <c r="M69" s="15"/>
    </row>
    <row r="70" spans="1:13" ht="13.8" outlineLevel="4" x14ac:dyDescent="0.3">
      <c r="A70" s="189" t="s">
        <v>74</v>
      </c>
      <c r="B70" s="190">
        <v>0.20518418611</v>
      </c>
      <c r="C70" s="190">
        <v>0.19716606474000001</v>
      </c>
      <c r="D70" s="190">
        <v>0.19959963659999999</v>
      </c>
      <c r="E70" s="190">
        <v>0.19828459168000001</v>
      </c>
      <c r="F70" s="190">
        <v>0.18016645790999999</v>
      </c>
      <c r="G70" s="190">
        <v>0.17405285464</v>
      </c>
      <c r="H70" s="190">
        <v>0.16539622078999999</v>
      </c>
      <c r="I70" s="190">
        <v>0.15513259314</v>
      </c>
      <c r="J70" s="190">
        <v>0.14867767999000001</v>
      </c>
      <c r="K70" s="15"/>
      <c r="L70" s="15"/>
      <c r="M70" s="15"/>
    </row>
    <row r="71" spans="1:13" ht="13.8" outlineLevel="4" x14ac:dyDescent="0.3">
      <c r="A71" s="189" t="s">
        <v>75</v>
      </c>
      <c r="B71" s="190">
        <v>0.29750616770999999</v>
      </c>
      <c r="C71" s="190">
        <v>0.28025664479000001</v>
      </c>
      <c r="D71" s="190">
        <v>0.27673041068999998</v>
      </c>
      <c r="E71" s="190">
        <v>0.27948224835000002</v>
      </c>
      <c r="F71" s="190">
        <v>0.27516410834999999</v>
      </c>
      <c r="G71" s="190">
        <v>0.27280150786000001</v>
      </c>
      <c r="H71" s="190">
        <v>0.27197537728999999</v>
      </c>
      <c r="I71" s="190">
        <v>0.27355484808000002</v>
      </c>
      <c r="J71" s="190">
        <v>0.26146703526999998</v>
      </c>
      <c r="K71" s="15"/>
      <c r="L71" s="15"/>
      <c r="M71" s="15"/>
    </row>
    <row r="72" spans="1:13" ht="13.8" outlineLevel="4" x14ac:dyDescent="0.3">
      <c r="A72" s="189" t="s">
        <v>76</v>
      </c>
      <c r="B72" s="190">
        <v>1.88932453E-3</v>
      </c>
      <c r="C72" s="190">
        <v>1.6259249899999999E-3</v>
      </c>
      <c r="D72" s="190">
        <v>1.41135412E-3</v>
      </c>
      <c r="E72" s="190">
        <v>1.2089902499999999E-3</v>
      </c>
      <c r="F72" s="190">
        <v>9.4958727999999997E-4</v>
      </c>
      <c r="G72" s="190">
        <v>7.1715397000000002E-4</v>
      </c>
      <c r="H72" s="190">
        <v>4.8694450999999997E-4</v>
      </c>
      <c r="I72" s="190">
        <v>2.4211413999999999E-4</v>
      </c>
      <c r="J72" s="190">
        <v>0</v>
      </c>
      <c r="K72" s="15"/>
      <c r="L72" s="15"/>
      <c r="M72" s="15"/>
    </row>
    <row r="73" spans="1:13" ht="13.8" outlineLevel="4" x14ac:dyDescent="0.3">
      <c r="A73" s="189" t="s">
        <v>77</v>
      </c>
      <c r="B73" s="190">
        <v>2.6450543900000002E-3</v>
      </c>
      <c r="C73" s="190">
        <v>2.2762950300000001E-3</v>
      </c>
      <c r="D73" s="190">
        <v>1.9758958199999998E-3</v>
      </c>
      <c r="E73" s="190">
        <v>1.6925864099999999E-3</v>
      </c>
      <c r="F73" s="190">
        <v>1.3294222499999999E-3</v>
      </c>
      <c r="G73" s="190">
        <v>1.00401561E-3</v>
      </c>
      <c r="H73" s="190">
        <v>6.8172236999999999E-4</v>
      </c>
      <c r="I73" s="190">
        <v>3.3895985999999998E-4</v>
      </c>
      <c r="J73" s="190">
        <v>0</v>
      </c>
      <c r="K73" s="15"/>
      <c r="L73" s="15"/>
      <c r="M73" s="15"/>
    </row>
    <row r="74" spans="1:13" ht="13.8" outlineLevel="4" x14ac:dyDescent="0.3">
      <c r="A74" s="189" t="s">
        <v>78</v>
      </c>
      <c r="B74" s="190">
        <v>0.69971395125000002</v>
      </c>
      <c r="C74" s="190">
        <v>0.66403243980000004</v>
      </c>
      <c r="D74" s="190">
        <v>0.67108231963999998</v>
      </c>
      <c r="E74" s="190">
        <v>0.69517770854000005</v>
      </c>
      <c r="F74" s="190">
        <v>0.7169150124</v>
      </c>
      <c r="G74" s="190">
        <v>0.73107246369000001</v>
      </c>
      <c r="H74" s="190">
        <v>0.74843952668000002</v>
      </c>
      <c r="I74" s="190">
        <v>0.73472996303000004</v>
      </c>
      <c r="J74" s="190">
        <v>0.70695955236999997</v>
      </c>
      <c r="K74" s="15"/>
      <c r="L74" s="15"/>
      <c r="M74" s="15"/>
    </row>
    <row r="75" spans="1:13" ht="13.8" outlineLevel="3" x14ac:dyDescent="0.3">
      <c r="A75" s="191" t="s">
        <v>79</v>
      </c>
      <c r="B75" s="190">
        <f t="shared" ref="B75:J75" si="17">SUM(B$76:B$76)</f>
        <v>1.914795E-5</v>
      </c>
      <c r="C75" s="190">
        <f t="shared" si="17"/>
        <v>1.8630120000000001E-5</v>
      </c>
      <c r="D75" s="190">
        <f t="shared" si="17"/>
        <v>1.870968E-5</v>
      </c>
      <c r="E75" s="190">
        <f t="shared" si="17"/>
        <v>1.8974489999999999E-5</v>
      </c>
      <c r="F75" s="190">
        <f t="shared" si="17"/>
        <v>1.8508039999999999E-5</v>
      </c>
      <c r="G75" s="190">
        <f t="shared" si="17"/>
        <v>1.8559850000000002E-5</v>
      </c>
      <c r="H75" s="190">
        <f t="shared" si="17"/>
        <v>1.865757E-5</v>
      </c>
      <c r="I75" s="190">
        <f t="shared" si="17"/>
        <v>1.861834E-5</v>
      </c>
      <c r="J75" s="190">
        <f t="shared" si="17"/>
        <v>1.8400980000000001E-5</v>
      </c>
      <c r="K75" s="15"/>
      <c r="L75" s="15"/>
      <c r="M75" s="15"/>
    </row>
    <row r="76" spans="1:13" ht="13.8" outlineLevel="4" x14ac:dyDescent="0.3">
      <c r="A76" s="189" t="s">
        <v>80</v>
      </c>
      <c r="B76" s="190">
        <v>1.914795E-5</v>
      </c>
      <c r="C76" s="190">
        <v>1.8630120000000001E-5</v>
      </c>
      <c r="D76" s="190">
        <v>1.870968E-5</v>
      </c>
      <c r="E76" s="190">
        <v>1.8974489999999999E-5</v>
      </c>
      <c r="F76" s="190">
        <v>1.8508039999999999E-5</v>
      </c>
      <c r="G76" s="190">
        <v>1.8559850000000002E-5</v>
      </c>
      <c r="H76" s="190">
        <v>1.865757E-5</v>
      </c>
      <c r="I76" s="190">
        <v>1.861834E-5</v>
      </c>
      <c r="J76" s="190">
        <v>1.8400980000000001E-5</v>
      </c>
      <c r="K76" s="15"/>
      <c r="L76" s="15"/>
      <c r="M76" s="15"/>
    </row>
    <row r="77" spans="1:13" ht="14.4" outlineLevel="2" x14ac:dyDescent="0.3">
      <c r="A77" s="192" t="s">
        <v>22</v>
      </c>
      <c r="B77" s="193">
        <f t="shared" ref="B77:J77" si="18">B$78+B$85+B$88+B$90+B$92</f>
        <v>4.2599980581700008</v>
      </c>
      <c r="C77" s="193">
        <f t="shared" si="18"/>
        <v>4.2175479073599993</v>
      </c>
      <c r="D77" s="193">
        <f t="shared" si="18"/>
        <v>4.0738532322199994</v>
      </c>
      <c r="E77" s="193">
        <f t="shared" si="18"/>
        <v>3.91138469251</v>
      </c>
      <c r="F77" s="193">
        <f t="shared" si="18"/>
        <v>3.7756210548099998</v>
      </c>
      <c r="G77" s="193">
        <f t="shared" si="18"/>
        <v>3.8169201013100005</v>
      </c>
      <c r="H77" s="193">
        <f t="shared" si="18"/>
        <v>3.8579392812100006</v>
      </c>
      <c r="I77" s="193">
        <f t="shared" si="18"/>
        <v>3.8494621175600003</v>
      </c>
      <c r="J77" s="193">
        <f t="shared" si="18"/>
        <v>3.7779005809000004</v>
      </c>
      <c r="K77" s="15"/>
      <c r="L77" s="15"/>
      <c r="M77" s="15"/>
    </row>
    <row r="78" spans="1:13" ht="13.8" outlineLevel="3" x14ac:dyDescent="0.3">
      <c r="A78" s="191" t="s">
        <v>23</v>
      </c>
      <c r="B78" s="190">
        <f t="shared" ref="B78:J78" si="19">SUM(B$79:B$84)</f>
        <v>2.5885366674400001</v>
      </c>
      <c r="C78" s="190">
        <f t="shared" si="19"/>
        <v>2.5753395154600001</v>
      </c>
      <c r="D78" s="190">
        <f t="shared" si="19"/>
        <v>2.4116721678599999</v>
      </c>
      <c r="E78" s="190">
        <f t="shared" si="19"/>
        <v>2.20494139962</v>
      </c>
      <c r="F78" s="190">
        <f t="shared" si="19"/>
        <v>2.0985791965400002</v>
      </c>
      <c r="G78" s="190">
        <f t="shared" si="19"/>
        <v>2.1318049113500002</v>
      </c>
      <c r="H78" s="190">
        <f t="shared" si="19"/>
        <v>2.1431439404699999</v>
      </c>
      <c r="I78" s="190">
        <f t="shared" si="19"/>
        <v>2.1467264849700003</v>
      </c>
      <c r="J78" s="190">
        <f t="shared" si="19"/>
        <v>2.0995290892900003</v>
      </c>
      <c r="K78" s="15"/>
      <c r="L78" s="15"/>
      <c r="M78" s="15"/>
    </row>
    <row r="79" spans="1:13" ht="13.8" outlineLevel="4" x14ac:dyDescent="0.3">
      <c r="A79" s="189" t="s">
        <v>81</v>
      </c>
      <c r="B79" s="190">
        <v>0.3</v>
      </c>
      <c r="C79" s="190">
        <v>0.3</v>
      </c>
      <c r="D79" s="190">
        <v>0.3</v>
      </c>
      <c r="E79" s="190">
        <v>0.3</v>
      </c>
      <c r="F79" s="190">
        <v>0.3</v>
      </c>
      <c r="G79" s="190">
        <v>0.3</v>
      </c>
      <c r="H79" s="190">
        <v>0.3</v>
      </c>
      <c r="I79" s="190">
        <v>0.3</v>
      </c>
      <c r="J79" s="190">
        <v>0.3</v>
      </c>
      <c r="K79" s="15"/>
      <c r="L79" s="15"/>
      <c r="M79" s="15"/>
    </row>
    <row r="80" spans="1:13" ht="13.8" outlineLevel="4" x14ac:dyDescent="0.3">
      <c r="A80" s="189" t="s">
        <v>26</v>
      </c>
      <c r="B80" s="190">
        <v>1.3395228933800001</v>
      </c>
      <c r="C80" s="190">
        <v>1.33704966086</v>
      </c>
      <c r="D80" s="190">
        <v>1.1680826233799999</v>
      </c>
      <c r="E80" s="190">
        <v>1.0097354331399999</v>
      </c>
      <c r="F80" s="190">
        <v>0.99453825932999995</v>
      </c>
      <c r="G80" s="190">
        <v>1.0237010279500001</v>
      </c>
      <c r="H80" s="190">
        <v>1.02463830671</v>
      </c>
      <c r="I80" s="190">
        <v>1.0231842383700001</v>
      </c>
      <c r="J80" s="190">
        <v>0.98138362426000003</v>
      </c>
      <c r="K80" s="15"/>
      <c r="L80" s="15"/>
      <c r="M80" s="15"/>
    </row>
    <row r="81" spans="1:13" ht="13.8" outlineLevel="4" x14ac:dyDescent="0.3">
      <c r="A81" s="189" t="s">
        <v>27</v>
      </c>
      <c r="B81" s="190">
        <v>0.18130986840999999</v>
      </c>
      <c r="C81" s="190">
        <v>0.17993315788</v>
      </c>
      <c r="D81" s="190">
        <v>0.17993315788</v>
      </c>
      <c r="E81" s="190">
        <v>0.17775924484</v>
      </c>
      <c r="F81" s="190">
        <v>0.17775924484</v>
      </c>
      <c r="G81" s="190">
        <v>0.17775924484</v>
      </c>
      <c r="H81" s="190">
        <v>0.17775924484</v>
      </c>
      <c r="I81" s="190">
        <v>0.17638253431000001</v>
      </c>
      <c r="J81" s="190">
        <v>0.17638253431000001</v>
      </c>
      <c r="K81" s="15"/>
      <c r="L81" s="15"/>
      <c r="M81" s="15"/>
    </row>
    <row r="82" spans="1:13" ht="13.8" outlineLevel="4" x14ac:dyDescent="0.3">
      <c r="A82" s="189" t="s">
        <v>31</v>
      </c>
      <c r="B82" s="190">
        <v>0.41426617345</v>
      </c>
      <c r="C82" s="190">
        <v>0.40760940991</v>
      </c>
      <c r="D82" s="190">
        <v>0.41022570481999998</v>
      </c>
      <c r="E82" s="190">
        <v>0.42944453819</v>
      </c>
      <c r="F82" s="190">
        <v>0.41196696549</v>
      </c>
      <c r="G82" s="190">
        <v>0.41504753020000001</v>
      </c>
      <c r="H82" s="190">
        <v>0.42348576897000001</v>
      </c>
      <c r="I82" s="190">
        <v>0.42990925489999998</v>
      </c>
      <c r="J82" s="190">
        <v>0.42691417605999998</v>
      </c>
      <c r="K82" s="15"/>
      <c r="L82" s="15"/>
      <c r="M82" s="15"/>
    </row>
    <row r="83" spans="1:13" ht="13.8" outlineLevel="4" x14ac:dyDescent="0.3">
      <c r="A83" s="189" t="s">
        <v>32</v>
      </c>
      <c r="B83" s="190">
        <v>0.35263865587999998</v>
      </c>
      <c r="C83" s="190">
        <v>0.34996137438000002</v>
      </c>
      <c r="D83" s="190">
        <v>0.35258485750000002</v>
      </c>
      <c r="E83" s="190">
        <v>0.28713272627000003</v>
      </c>
      <c r="F83" s="190">
        <v>0.21342733879</v>
      </c>
      <c r="G83" s="190">
        <v>0.21440353573000001</v>
      </c>
      <c r="H83" s="190">
        <v>0.21635052186000001</v>
      </c>
      <c r="I83" s="190">
        <v>0.21634543580000001</v>
      </c>
      <c r="J83" s="190">
        <v>0.21395712310000001</v>
      </c>
      <c r="K83" s="15"/>
      <c r="L83" s="15"/>
      <c r="M83" s="15"/>
    </row>
    <row r="84" spans="1:13" ht="13.8" outlineLevel="4" x14ac:dyDescent="0.3">
      <c r="A84" s="189" t="s">
        <v>33</v>
      </c>
      <c r="B84" s="190">
        <v>7.9907632000000004E-4</v>
      </c>
      <c r="C84" s="190">
        <v>7.8591242999999996E-4</v>
      </c>
      <c r="D84" s="190">
        <v>8.4582427999999998E-4</v>
      </c>
      <c r="E84" s="190">
        <v>8.6945717999999995E-4</v>
      </c>
      <c r="F84" s="190">
        <v>8.8738808999999999E-4</v>
      </c>
      <c r="G84" s="190">
        <v>8.9357263000000001E-4</v>
      </c>
      <c r="H84" s="190">
        <v>9.1009808999999999E-4</v>
      </c>
      <c r="I84" s="190">
        <v>9.0502159000000002E-4</v>
      </c>
      <c r="J84" s="190">
        <v>8.9163155999999997E-4</v>
      </c>
      <c r="K84" s="15"/>
      <c r="L84" s="15"/>
      <c r="M84" s="15"/>
    </row>
    <row r="85" spans="1:13" ht="13.8" outlineLevel="3" x14ac:dyDescent="0.3">
      <c r="A85" s="191" t="s">
        <v>82</v>
      </c>
      <c r="B85" s="190">
        <f t="shared" ref="B85:J85" si="20">SUM(B$86:B$87)</f>
        <v>0.73282004173000004</v>
      </c>
      <c r="C85" s="190">
        <f t="shared" si="20"/>
        <v>0.72126505872000002</v>
      </c>
      <c r="D85" s="190">
        <f t="shared" si="20"/>
        <v>0.73002860695000005</v>
      </c>
      <c r="E85" s="190">
        <f t="shared" si="20"/>
        <v>0.74954853602000004</v>
      </c>
      <c r="F85" s="190">
        <f t="shared" si="20"/>
        <v>0.73647689176999998</v>
      </c>
      <c r="G85" s="190">
        <f t="shared" si="20"/>
        <v>0.74139078291000005</v>
      </c>
      <c r="H85" s="190">
        <f t="shared" si="20"/>
        <v>0.75452098590000005</v>
      </c>
      <c r="I85" s="190">
        <f t="shared" si="20"/>
        <v>0.75048748499999995</v>
      </c>
      <c r="J85" s="190">
        <f t="shared" si="20"/>
        <v>0.73984851984</v>
      </c>
      <c r="K85" s="15"/>
      <c r="L85" s="15"/>
      <c r="M85" s="15"/>
    </row>
    <row r="86" spans="1:13" ht="13.8" outlineLevel="4" x14ac:dyDescent="0.3">
      <c r="A86" s="189" t="s">
        <v>83</v>
      </c>
      <c r="B86" s="190">
        <v>0.70141175173000003</v>
      </c>
      <c r="C86" s="190">
        <v>0.68985676872000001</v>
      </c>
      <c r="D86" s="190">
        <v>0.69862031695000004</v>
      </c>
      <c r="E86" s="190">
        <v>0.71814024602000004</v>
      </c>
      <c r="F86" s="190">
        <v>0.70506860176999997</v>
      </c>
      <c r="G86" s="190">
        <v>0.70998249291000004</v>
      </c>
      <c r="H86" s="190">
        <v>0.72311269590000005</v>
      </c>
      <c r="I86" s="190">
        <v>0.71907919499999995</v>
      </c>
      <c r="J86" s="190">
        <v>0.70844022983999999</v>
      </c>
      <c r="K86" s="15"/>
      <c r="L86" s="15"/>
      <c r="M86" s="15"/>
    </row>
    <row r="87" spans="1:13" ht="13.8" outlineLevel="4" x14ac:dyDescent="0.3">
      <c r="A87" s="189" t="s">
        <v>39</v>
      </c>
      <c r="B87" s="190">
        <v>3.1408289999999998E-2</v>
      </c>
      <c r="C87" s="190">
        <v>3.1408289999999998E-2</v>
      </c>
      <c r="D87" s="190">
        <v>3.1408289999999998E-2</v>
      </c>
      <c r="E87" s="190">
        <v>3.1408289999999998E-2</v>
      </c>
      <c r="F87" s="190">
        <v>3.1408289999999998E-2</v>
      </c>
      <c r="G87" s="190">
        <v>3.1408289999999998E-2</v>
      </c>
      <c r="H87" s="190">
        <v>3.1408289999999998E-2</v>
      </c>
      <c r="I87" s="190">
        <v>3.1408289999999998E-2</v>
      </c>
      <c r="J87" s="190">
        <v>3.1408289999999998E-2</v>
      </c>
      <c r="K87" s="15"/>
      <c r="L87" s="15"/>
      <c r="M87" s="15"/>
    </row>
    <row r="88" spans="1:13" ht="13.8" outlineLevel="3" x14ac:dyDescent="0.3">
      <c r="A88" s="191" t="s">
        <v>47</v>
      </c>
      <c r="B88" s="190">
        <f t="shared" ref="B88:J88" si="21">SUM(B$89:B$89)</f>
        <v>0.14240130083999999</v>
      </c>
      <c r="C88" s="190">
        <f t="shared" si="21"/>
        <v>0.13697821759000001</v>
      </c>
      <c r="D88" s="190">
        <f t="shared" si="21"/>
        <v>0.13871831099000001</v>
      </c>
      <c r="E88" s="190">
        <f t="shared" si="21"/>
        <v>0.14259419540000001</v>
      </c>
      <c r="F88" s="190">
        <f t="shared" si="21"/>
        <v>0.13999868484</v>
      </c>
      <c r="G88" s="190">
        <f t="shared" si="21"/>
        <v>0.13780743668000001</v>
      </c>
      <c r="H88" s="190">
        <f t="shared" si="21"/>
        <v>0.14035600603000001</v>
      </c>
      <c r="I88" s="190">
        <f t="shared" si="21"/>
        <v>0.13636557543</v>
      </c>
      <c r="J88" s="190">
        <f t="shared" si="21"/>
        <v>0.13434801099999999</v>
      </c>
      <c r="K88" s="15"/>
      <c r="L88" s="15"/>
      <c r="M88" s="15"/>
    </row>
    <row r="89" spans="1:13" ht="13.8" outlineLevel="4" x14ac:dyDescent="0.3">
      <c r="A89" s="189" t="s">
        <v>84</v>
      </c>
      <c r="B89" s="190">
        <v>0.14240130083999999</v>
      </c>
      <c r="C89" s="190">
        <v>0.13697821759000001</v>
      </c>
      <c r="D89" s="190">
        <v>0.13871831099000001</v>
      </c>
      <c r="E89" s="190">
        <v>0.14259419540000001</v>
      </c>
      <c r="F89" s="190">
        <v>0.13999868484</v>
      </c>
      <c r="G89" s="190">
        <v>0.13780743668000001</v>
      </c>
      <c r="H89" s="190">
        <v>0.14035600603000001</v>
      </c>
      <c r="I89" s="190">
        <v>0.13636557543</v>
      </c>
      <c r="J89" s="190">
        <v>0.13434801099999999</v>
      </c>
      <c r="K89" s="15"/>
      <c r="L89" s="15"/>
      <c r="M89" s="15"/>
    </row>
    <row r="90" spans="1:13" ht="13.8" outlineLevel="3" x14ac:dyDescent="0.3">
      <c r="A90" s="191" t="s">
        <v>85</v>
      </c>
      <c r="B90" s="190">
        <f t="shared" ref="B90:J90" si="22">SUM(B$91:B$91)</f>
        <v>0.70141175173000003</v>
      </c>
      <c r="C90" s="190">
        <f t="shared" si="22"/>
        <v>0.68985676872000001</v>
      </c>
      <c r="D90" s="190">
        <f t="shared" si="22"/>
        <v>0.69862031695000004</v>
      </c>
      <c r="E90" s="190">
        <f t="shared" si="22"/>
        <v>0.71814024602000004</v>
      </c>
      <c r="F90" s="190">
        <f t="shared" si="22"/>
        <v>0.70506860176999997</v>
      </c>
      <c r="G90" s="190">
        <f t="shared" si="22"/>
        <v>0.70998249291000004</v>
      </c>
      <c r="H90" s="190">
        <f t="shared" si="22"/>
        <v>0.72311269590000005</v>
      </c>
      <c r="I90" s="190">
        <f t="shared" si="22"/>
        <v>0.71907919499999995</v>
      </c>
      <c r="J90" s="190">
        <f t="shared" si="22"/>
        <v>0.70844022983999999</v>
      </c>
      <c r="K90" s="15"/>
      <c r="L90" s="15"/>
      <c r="M90" s="15"/>
    </row>
    <row r="91" spans="1:13" ht="13.8" outlineLevel="4" x14ac:dyDescent="0.3">
      <c r="A91" s="189" t="s">
        <v>87</v>
      </c>
      <c r="B91" s="190">
        <v>0.70141175173000003</v>
      </c>
      <c r="C91" s="190">
        <v>0.68985676872000001</v>
      </c>
      <c r="D91" s="190">
        <v>0.69862031695000004</v>
      </c>
      <c r="E91" s="190">
        <v>0.71814024602000004</v>
      </c>
      <c r="F91" s="190">
        <v>0.70506860176999997</v>
      </c>
      <c r="G91" s="190">
        <v>0.70998249291000004</v>
      </c>
      <c r="H91" s="190">
        <v>0.72311269590000005</v>
      </c>
      <c r="I91" s="190">
        <v>0.71907919499999995</v>
      </c>
      <c r="J91" s="190">
        <v>0.70844022983999999</v>
      </c>
      <c r="K91" s="15"/>
      <c r="L91" s="15"/>
      <c r="M91" s="15"/>
    </row>
    <row r="92" spans="1:13" ht="13.8" outlineLevel="3" x14ac:dyDescent="0.3">
      <c r="A92" s="191" t="s">
        <v>65</v>
      </c>
      <c r="B92" s="190">
        <f t="shared" ref="B92:J92" si="23">SUM(B$93:B$93)</f>
        <v>9.482829643E-2</v>
      </c>
      <c r="C92" s="190">
        <f t="shared" si="23"/>
        <v>9.4108346869999998E-2</v>
      </c>
      <c r="D92" s="190">
        <f t="shared" si="23"/>
        <v>9.4813829469999999E-2</v>
      </c>
      <c r="E92" s="190">
        <f t="shared" si="23"/>
        <v>9.6160315450000006E-2</v>
      </c>
      <c r="F92" s="190">
        <f t="shared" si="23"/>
        <v>9.5497679890000006E-2</v>
      </c>
      <c r="G92" s="190">
        <f t="shared" si="23"/>
        <v>9.5934477460000001E-2</v>
      </c>
      <c r="H92" s="190">
        <f t="shared" si="23"/>
        <v>9.6805652909999998E-2</v>
      </c>
      <c r="I92" s="190">
        <f t="shared" si="23"/>
        <v>9.6803377159999995E-2</v>
      </c>
      <c r="J92" s="190">
        <f t="shared" si="23"/>
        <v>9.5734730929999998E-2</v>
      </c>
      <c r="K92" s="15"/>
      <c r="L92" s="15"/>
      <c r="M92" s="15"/>
    </row>
    <row r="93" spans="1:13" ht="13.8" outlineLevel="4" x14ac:dyDescent="0.3">
      <c r="A93" s="189" t="s">
        <v>32</v>
      </c>
      <c r="B93" s="190">
        <v>9.482829643E-2</v>
      </c>
      <c r="C93" s="190">
        <v>9.4108346869999998E-2</v>
      </c>
      <c r="D93" s="190">
        <v>9.4813829469999999E-2</v>
      </c>
      <c r="E93" s="190">
        <v>9.6160315450000006E-2</v>
      </c>
      <c r="F93" s="190">
        <v>9.5497679890000006E-2</v>
      </c>
      <c r="G93" s="190">
        <v>9.5934477460000001E-2</v>
      </c>
      <c r="H93" s="190">
        <v>9.6805652909999998E-2</v>
      </c>
      <c r="I93" s="190">
        <v>9.6803377159999995E-2</v>
      </c>
      <c r="J93" s="190">
        <v>9.5734730929999998E-2</v>
      </c>
      <c r="K93" s="15"/>
      <c r="L93" s="15"/>
      <c r="M93" s="15"/>
    </row>
    <row r="94" spans="1:13" ht="40.049999999999997" customHeight="1" x14ac:dyDescent="0.2">
      <c r="A94" s="298" t="s">
        <v>158</v>
      </c>
      <c r="B94" s="299"/>
      <c r="C94" s="299"/>
      <c r="D94" s="299"/>
      <c r="E94" s="299"/>
      <c r="F94" s="299"/>
      <c r="G94" s="299"/>
      <c r="H94" s="299"/>
      <c r="I94" s="299"/>
      <c r="J94" s="299"/>
      <c r="K94" s="15"/>
      <c r="L94" s="15"/>
      <c r="M94" s="15"/>
    </row>
    <row r="95" spans="1:13" x14ac:dyDescent="0.2">
      <c r="B95" s="14"/>
      <c r="C95" s="14"/>
      <c r="D95" s="14"/>
      <c r="E95" s="14"/>
      <c r="F95" s="14"/>
      <c r="G95" s="14"/>
      <c r="H95" s="14"/>
      <c r="I95" s="14"/>
      <c r="J95" s="14"/>
      <c r="K95" s="15"/>
      <c r="L95" s="15"/>
      <c r="M95" s="15"/>
    </row>
    <row r="96" spans="1:13" x14ac:dyDescent="0.2">
      <c r="B96" s="14"/>
      <c r="C96" s="14"/>
      <c r="D96" s="14"/>
      <c r="E96" s="14"/>
      <c r="F96" s="14"/>
      <c r="G96" s="14"/>
      <c r="H96" s="14"/>
      <c r="I96" s="14"/>
      <c r="J96" s="14"/>
      <c r="K96" s="15"/>
      <c r="L96" s="15"/>
      <c r="M96" s="15"/>
    </row>
    <row r="97" spans="2:13" x14ac:dyDescent="0.2">
      <c r="B97" s="14"/>
      <c r="C97" s="14"/>
      <c r="D97" s="14"/>
      <c r="E97" s="14"/>
      <c r="F97" s="14"/>
      <c r="G97" s="14"/>
      <c r="H97" s="14"/>
      <c r="I97" s="14"/>
      <c r="J97" s="14"/>
      <c r="K97" s="15"/>
      <c r="L97" s="15"/>
      <c r="M97" s="15"/>
    </row>
    <row r="98" spans="2:13" x14ac:dyDescent="0.2">
      <c r="B98" s="14"/>
      <c r="C98" s="14"/>
      <c r="D98" s="14"/>
      <c r="E98" s="14"/>
      <c r="F98" s="14"/>
      <c r="G98" s="14"/>
      <c r="H98" s="14"/>
      <c r="I98" s="14"/>
      <c r="J98" s="14"/>
      <c r="K98" s="15"/>
      <c r="L98" s="15"/>
      <c r="M98" s="15"/>
    </row>
    <row r="99" spans="2:13" x14ac:dyDescent="0.2">
      <c r="B99" s="14"/>
      <c r="C99" s="14"/>
      <c r="D99" s="14"/>
      <c r="E99" s="14"/>
      <c r="F99" s="14"/>
      <c r="G99" s="14"/>
      <c r="H99" s="14"/>
      <c r="I99" s="14"/>
      <c r="J99" s="14"/>
      <c r="K99" s="15"/>
      <c r="L99" s="15"/>
      <c r="M99" s="15"/>
    </row>
    <row r="100" spans="2:13" x14ac:dyDescent="0.2">
      <c r="B100" s="14"/>
      <c r="C100" s="14"/>
      <c r="D100" s="14"/>
      <c r="E100" s="14"/>
      <c r="F100" s="14"/>
      <c r="G100" s="14"/>
      <c r="H100" s="14"/>
      <c r="I100" s="14"/>
      <c r="J100" s="14"/>
      <c r="K100" s="15"/>
      <c r="L100" s="15"/>
      <c r="M100" s="15"/>
    </row>
    <row r="101" spans="2:13" x14ac:dyDescent="0.2">
      <c r="B101" s="14"/>
      <c r="C101" s="14"/>
      <c r="D101" s="14"/>
      <c r="E101" s="14"/>
      <c r="F101" s="14"/>
      <c r="G101" s="14"/>
      <c r="H101" s="14"/>
      <c r="I101" s="14"/>
      <c r="J101" s="14"/>
      <c r="K101" s="15"/>
      <c r="L101" s="15"/>
      <c r="M101" s="15"/>
    </row>
    <row r="102" spans="2:13" x14ac:dyDescent="0.2">
      <c r="B102" s="14"/>
      <c r="C102" s="14"/>
      <c r="D102" s="14"/>
      <c r="E102" s="14"/>
      <c r="F102" s="14"/>
      <c r="G102" s="14"/>
      <c r="H102" s="14"/>
      <c r="I102" s="14"/>
      <c r="J102" s="14"/>
      <c r="K102" s="15"/>
      <c r="L102" s="15"/>
      <c r="M102" s="15"/>
    </row>
    <row r="103" spans="2:13" x14ac:dyDescent="0.2">
      <c r="B103" s="14"/>
      <c r="C103" s="14"/>
      <c r="D103" s="14"/>
      <c r="E103" s="14"/>
      <c r="F103" s="14"/>
      <c r="G103" s="14"/>
      <c r="H103" s="14"/>
      <c r="I103" s="14"/>
      <c r="J103" s="14"/>
      <c r="K103" s="15"/>
      <c r="L103" s="15"/>
      <c r="M103" s="15"/>
    </row>
    <row r="104" spans="2:13" x14ac:dyDescent="0.2">
      <c r="B104" s="14"/>
      <c r="C104" s="14"/>
      <c r="D104" s="14"/>
      <c r="E104" s="14"/>
      <c r="F104" s="14"/>
      <c r="G104" s="14"/>
      <c r="H104" s="14"/>
      <c r="I104" s="14"/>
      <c r="J104" s="14"/>
      <c r="K104" s="15"/>
      <c r="L104" s="15"/>
      <c r="M104" s="15"/>
    </row>
    <row r="105" spans="2:13" x14ac:dyDescent="0.2">
      <c r="B105" s="14"/>
      <c r="C105" s="14"/>
      <c r="D105" s="14"/>
      <c r="E105" s="14"/>
      <c r="F105" s="14"/>
      <c r="G105" s="14"/>
      <c r="H105" s="14"/>
      <c r="I105" s="14"/>
      <c r="J105" s="14"/>
      <c r="K105" s="15"/>
      <c r="L105" s="15"/>
      <c r="M105" s="15"/>
    </row>
    <row r="106" spans="2:13" x14ac:dyDescent="0.2">
      <c r="B106" s="14"/>
      <c r="C106" s="14"/>
      <c r="D106" s="14"/>
      <c r="E106" s="14"/>
      <c r="F106" s="14"/>
      <c r="G106" s="14"/>
      <c r="H106" s="14"/>
      <c r="I106" s="14"/>
      <c r="J106" s="14"/>
      <c r="K106" s="15"/>
      <c r="L106" s="15"/>
      <c r="M106" s="15"/>
    </row>
    <row r="107" spans="2:13" x14ac:dyDescent="0.2">
      <c r="B107" s="14"/>
      <c r="C107" s="14"/>
      <c r="D107" s="14"/>
      <c r="E107" s="14"/>
      <c r="F107" s="14"/>
      <c r="G107" s="14"/>
      <c r="H107" s="14"/>
      <c r="I107" s="14"/>
      <c r="J107" s="14"/>
      <c r="K107" s="15"/>
      <c r="L107" s="15"/>
      <c r="M107" s="15"/>
    </row>
    <row r="108" spans="2:13" x14ac:dyDescent="0.2">
      <c r="B108" s="14"/>
      <c r="C108" s="14"/>
      <c r="D108" s="14"/>
      <c r="E108" s="14"/>
      <c r="F108" s="14"/>
      <c r="G108" s="14"/>
      <c r="H108" s="14"/>
      <c r="I108" s="14"/>
      <c r="J108" s="14"/>
      <c r="K108" s="15"/>
      <c r="L108" s="15"/>
      <c r="M108" s="15"/>
    </row>
    <row r="109" spans="2:13" x14ac:dyDescent="0.2">
      <c r="B109" s="14"/>
      <c r="C109" s="14"/>
      <c r="D109" s="14"/>
      <c r="E109" s="14"/>
      <c r="F109" s="14"/>
      <c r="G109" s="14"/>
      <c r="H109" s="14"/>
      <c r="I109" s="14"/>
      <c r="J109" s="14"/>
      <c r="K109" s="15"/>
      <c r="L109" s="15"/>
      <c r="M109" s="15"/>
    </row>
    <row r="110" spans="2:13" x14ac:dyDescent="0.2">
      <c r="B110" s="14"/>
      <c r="C110" s="14"/>
      <c r="D110" s="14"/>
      <c r="E110" s="14"/>
      <c r="F110" s="14"/>
      <c r="G110" s="14"/>
      <c r="H110" s="14"/>
      <c r="I110" s="14"/>
      <c r="J110" s="14"/>
      <c r="K110" s="15"/>
      <c r="L110" s="15"/>
      <c r="M110" s="15"/>
    </row>
    <row r="111" spans="2:13" x14ac:dyDescent="0.2">
      <c r="B111" s="14"/>
      <c r="C111" s="14"/>
      <c r="D111" s="14"/>
      <c r="E111" s="14"/>
      <c r="F111" s="14"/>
      <c r="G111" s="14"/>
      <c r="H111" s="14"/>
      <c r="I111" s="14"/>
      <c r="J111" s="14"/>
      <c r="K111" s="15"/>
      <c r="L111" s="15"/>
      <c r="M111" s="15"/>
    </row>
    <row r="112" spans="2:13" x14ac:dyDescent="0.2">
      <c r="B112" s="14"/>
      <c r="C112" s="14"/>
      <c r="D112" s="14"/>
      <c r="E112" s="14"/>
      <c r="F112" s="14"/>
      <c r="G112" s="14"/>
      <c r="H112" s="14"/>
      <c r="I112" s="14"/>
      <c r="J112" s="14"/>
      <c r="K112" s="15"/>
      <c r="L112" s="15"/>
      <c r="M112" s="15"/>
    </row>
    <row r="113" spans="2:13" x14ac:dyDescent="0.2">
      <c r="B113" s="14"/>
      <c r="C113" s="14"/>
      <c r="D113" s="14"/>
      <c r="E113" s="14"/>
      <c r="F113" s="14"/>
      <c r="G113" s="14"/>
      <c r="H113" s="14"/>
      <c r="I113" s="14"/>
      <c r="J113" s="14"/>
      <c r="K113" s="15"/>
      <c r="L113" s="15"/>
      <c r="M113" s="15"/>
    </row>
    <row r="114" spans="2:13" x14ac:dyDescent="0.2">
      <c r="B114" s="14"/>
      <c r="C114" s="14"/>
      <c r="D114" s="14"/>
      <c r="E114" s="14"/>
      <c r="F114" s="14"/>
      <c r="G114" s="14"/>
      <c r="H114" s="14"/>
      <c r="I114" s="14"/>
      <c r="J114" s="14"/>
      <c r="K114" s="15"/>
      <c r="L114" s="15"/>
      <c r="M114" s="15"/>
    </row>
    <row r="115" spans="2:13" x14ac:dyDescent="0.2">
      <c r="B115" s="14"/>
      <c r="C115" s="14"/>
      <c r="D115" s="14"/>
      <c r="E115" s="14"/>
      <c r="F115" s="14"/>
      <c r="G115" s="14"/>
      <c r="H115" s="14"/>
      <c r="I115" s="14"/>
      <c r="J115" s="14"/>
      <c r="K115" s="15"/>
      <c r="L115" s="15"/>
      <c r="M115" s="15"/>
    </row>
    <row r="116" spans="2:13" x14ac:dyDescent="0.2">
      <c r="B116" s="14"/>
      <c r="C116" s="14"/>
      <c r="D116" s="14"/>
      <c r="E116" s="14"/>
      <c r="F116" s="14"/>
      <c r="G116" s="14"/>
      <c r="H116" s="14"/>
      <c r="I116" s="14"/>
      <c r="J116" s="14"/>
      <c r="K116" s="15"/>
      <c r="L116" s="15"/>
      <c r="M116" s="15"/>
    </row>
    <row r="117" spans="2:13" x14ac:dyDescent="0.2">
      <c r="B117" s="14"/>
      <c r="C117" s="14"/>
      <c r="D117" s="14"/>
      <c r="E117" s="14"/>
      <c r="F117" s="14"/>
      <c r="G117" s="14"/>
      <c r="H117" s="14"/>
      <c r="I117" s="14"/>
      <c r="J117" s="14"/>
      <c r="K117" s="15"/>
      <c r="L117" s="15"/>
      <c r="M117" s="15"/>
    </row>
    <row r="118" spans="2:13" x14ac:dyDescent="0.2">
      <c r="B118" s="14"/>
      <c r="C118" s="14"/>
      <c r="D118" s="14"/>
      <c r="E118" s="14"/>
      <c r="F118" s="14"/>
      <c r="G118" s="14"/>
      <c r="H118" s="14"/>
      <c r="I118" s="14"/>
      <c r="J118" s="14"/>
      <c r="K118" s="15"/>
      <c r="L118" s="15"/>
      <c r="M118" s="15"/>
    </row>
    <row r="119" spans="2:13" x14ac:dyDescent="0.2">
      <c r="B119" s="14"/>
      <c r="C119" s="14"/>
      <c r="D119" s="14"/>
      <c r="E119" s="14"/>
      <c r="F119" s="14"/>
      <c r="G119" s="14"/>
      <c r="H119" s="14"/>
      <c r="I119" s="14"/>
      <c r="J119" s="14"/>
      <c r="K119" s="15"/>
      <c r="L119" s="15"/>
      <c r="M119" s="15"/>
    </row>
    <row r="120" spans="2:13" x14ac:dyDescent="0.2">
      <c r="B120" s="14"/>
      <c r="C120" s="14"/>
      <c r="D120" s="14"/>
      <c r="E120" s="14"/>
      <c r="F120" s="14"/>
      <c r="G120" s="14"/>
      <c r="H120" s="14"/>
      <c r="I120" s="14"/>
      <c r="J120" s="14"/>
      <c r="K120" s="15"/>
      <c r="L120" s="15"/>
      <c r="M120" s="15"/>
    </row>
    <row r="121" spans="2:13" x14ac:dyDescent="0.2">
      <c r="B121" s="14"/>
      <c r="C121" s="14"/>
      <c r="D121" s="14"/>
      <c r="E121" s="14"/>
      <c r="F121" s="14"/>
      <c r="G121" s="14"/>
      <c r="H121" s="14"/>
      <c r="I121" s="14"/>
      <c r="J121" s="14"/>
      <c r="K121" s="15"/>
      <c r="L121" s="15"/>
      <c r="M121" s="15"/>
    </row>
    <row r="122" spans="2:13" x14ac:dyDescent="0.2">
      <c r="B122" s="14"/>
      <c r="C122" s="14"/>
      <c r="D122" s="14"/>
      <c r="E122" s="14"/>
      <c r="F122" s="14"/>
      <c r="G122" s="14"/>
      <c r="H122" s="14"/>
      <c r="I122" s="14"/>
      <c r="J122" s="14"/>
      <c r="K122" s="15"/>
      <c r="L122" s="15"/>
      <c r="M122" s="15"/>
    </row>
    <row r="123" spans="2:13" x14ac:dyDescent="0.2">
      <c r="B123" s="14"/>
      <c r="C123" s="14"/>
      <c r="D123" s="14"/>
      <c r="E123" s="14"/>
      <c r="F123" s="14"/>
      <c r="G123" s="14"/>
      <c r="H123" s="14"/>
      <c r="I123" s="14"/>
      <c r="J123" s="14"/>
      <c r="K123" s="15"/>
      <c r="L123" s="15"/>
      <c r="M123" s="15"/>
    </row>
    <row r="124" spans="2:13" x14ac:dyDescent="0.2">
      <c r="B124" s="14"/>
      <c r="C124" s="14"/>
      <c r="D124" s="14"/>
      <c r="E124" s="14"/>
      <c r="F124" s="14"/>
      <c r="G124" s="14"/>
      <c r="H124" s="14"/>
      <c r="I124" s="14"/>
      <c r="J124" s="14"/>
      <c r="K124" s="15"/>
      <c r="L124" s="15"/>
      <c r="M124" s="15"/>
    </row>
    <row r="125" spans="2:13" x14ac:dyDescent="0.2">
      <c r="B125" s="14"/>
      <c r="C125" s="14"/>
      <c r="D125" s="14"/>
      <c r="E125" s="14"/>
      <c r="F125" s="14"/>
      <c r="G125" s="14"/>
      <c r="H125" s="14"/>
      <c r="I125" s="14"/>
      <c r="J125" s="14"/>
      <c r="K125" s="15"/>
      <c r="L125" s="15"/>
      <c r="M125" s="15"/>
    </row>
    <row r="126" spans="2:13" x14ac:dyDescent="0.2">
      <c r="B126" s="14"/>
      <c r="C126" s="14"/>
      <c r="D126" s="14"/>
      <c r="E126" s="14"/>
      <c r="F126" s="14"/>
      <c r="G126" s="14"/>
      <c r="H126" s="14"/>
      <c r="I126" s="14"/>
      <c r="J126" s="14"/>
      <c r="K126" s="15"/>
      <c r="L126" s="15"/>
      <c r="M126" s="15"/>
    </row>
    <row r="127" spans="2:13" x14ac:dyDescent="0.2">
      <c r="B127" s="14"/>
      <c r="C127" s="14"/>
      <c r="D127" s="14"/>
      <c r="E127" s="14"/>
      <c r="F127" s="14"/>
      <c r="G127" s="14"/>
      <c r="H127" s="14"/>
      <c r="I127" s="14"/>
      <c r="J127" s="14"/>
      <c r="K127" s="15"/>
      <c r="L127" s="15"/>
      <c r="M127" s="15"/>
    </row>
    <row r="128" spans="2:13" x14ac:dyDescent="0.2">
      <c r="B128" s="14"/>
      <c r="C128" s="14"/>
      <c r="D128" s="14"/>
      <c r="E128" s="14"/>
      <c r="F128" s="14"/>
      <c r="G128" s="14"/>
      <c r="H128" s="14"/>
      <c r="I128" s="14"/>
      <c r="J128" s="14"/>
      <c r="K128" s="15"/>
      <c r="L128" s="15"/>
      <c r="M128" s="15"/>
    </row>
    <row r="129" spans="2:13" x14ac:dyDescent="0.2">
      <c r="B129" s="14"/>
      <c r="C129" s="14"/>
      <c r="D129" s="14"/>
      <c r="E129" s="14"/>
      <c r="F129" s="14"/>
      <c r="G129" s="14"/>
      <c r="H129" s="14"/>
      <c r="I129" s="14"/>
      <c r="J129" s="14"/>
      <c r="K129" s="15"/>
      <c r="L129" s="15"/>
      <c r="M129" s="15"/>
    </row>
    <row r="130" spans="2:13" x14ac:dyDescent="0.2">
      <c r="B130" s="14"/>
      <c r="C130" s="14"/>
      <c r="D130" s="14"/>
      <c r="E130" s="14"/>
      <c r="F130" s="14"/>
      <c r="G130" s="14"/>
      <c r="H130" s="14"/>
      <c r="I130" s="14"/>
      <c r="J130" s="14"/>
      <c r="K130" s="15"/>
      <c r="L130" s="15"/>
      <c r="M130" s="15"/>
    </row>
    <row r="131" spans="2:13" x14ac:dyDescent="0.2">
      <c r="B131" s="14"/>
      <c r="C131" s="14"/>
      <c r="D131" s="14"/>
      <c r="E131" s="14"/>
      <c r="F131" s="14"/>
      <c r="G131" s="14"/>
      <c r="H131" s="14"/>
      <c r="I131" s="14"/>
      <c r="J131" s="14"/>
      <c r="K131" s="15"/>
      <c r="L131" s="15"/>
      <c r="M131" s="15"/>
    </row>
    <row r="132" spans="2:13" x14ac:dyDescent="0.2">
      <c r="B132" s="14"/>
      <c r="C132" s="14"/>
      <c r="D132" s="14"/>
      <c r="E132" s="14"/>
      <c r="F132" s="14"/>
      <c r="G132" s="14"/>
      <c r="H132" s="14"/>
      <c r="I132" s="14"/>
      <c r="J132" s="14"/>
      <c r="K132" s="15"/>
      <c r="L132" s="15"/>
      <c r="M132" s="15"/>
    </row>
    <row r="133" spans="2:13" x14ac:dyDescent="0.2">
      <c r="B133" s="14"/>
      <c r="C133" s="14"/>
      <c r="D133" s="14"/>
      <c r="E133" s="14"/>
      <c r="F133" s="14"/>
      <c r="G133" s="14"/>
      <c r="H133" s="14"/>
      <c r="I133" s="14"/>
      <c r="J133" s="14"/>
      <c r="K133" s="15"/>
      <c r="L133" s="15"/>
      <c r="M133" s="15"/>
    </row>
    <row r="134" spans="2:13" x14ac:dyDescent="0.2">
      <c r="B134" s="14"/>
      <c r="C134" s="14"/>
      <c r="D134" s="14"/>
      <c r="E134" s="14"/>
      <c r="F134" s="14"/>
      <c r="G134" s="14"/>
      <c r="H134" s="14"/>
      <c r="I134" s="14"/>
      <c r="J134" s="14"/>
      <c r="K134" s="15"/>
      <c r="L134" s="15"/>
      <c r="M134" s="15"/>
    </row>
    <row r="135" spans="2:13" x14ac:dyDescent="0.2">
      <c r="B135" s="14"/>
      <c r="C135" s="14"/>
      <c r="D135" s="14"/>
      <c r="E135" s="14"/>
      <c r="F135" s="14"/>
      <c r="G135" s="14"/>
      <c r="H135" s="14"/>
      <c r="I135" s="14"/>
      <c r="J135" s="14"/>
      <c r="K135" s="15"/>
      <c r="L135" s="15"/>
      <c r="M135" s="15"/>
    </row>
    <row r="136" spans="2:13" x14ac:dyDescent="0.2">
      <c r="B136" s="14"/>
      <c r="C136" s="14"/>
      <c r="D136" s="14"/>
      <c r="E136" s="14"/>
      <c r="F136" s="14"/>
      <c r="G136" s="14"/>
      <c r="H136" s="14"/>
      <c r="I136" s="14"/>
      <c r="J136" s="14"/>
      <c r="K136" s="15"/>
      <c r="L136" s="15"/>
      <c r="M136" s="15"/>
    </row>
    <row r="137" spans="2:13" x14ac:dyDescent="0.2">
      <c r="B137" s="14"/>
      <c r="C137" s="14"/>
      <c r="D137" s="14"/>
      <c r="E137" s="14"/>
      <c r="F137" s="14"/>
      <c r="G137" s="14"/>
      <c r="H137" s="14"/>
      <c r="I137" s="14"/>
      <c r="J137" s="14"/>
      <c r="K137" s="15"/>
      <c r="L137" s="15"/>
      <c r="M137" s="15"/>
    </row>
  </sheetData>
  <mergeCells count="3">
    <mergeCell ref="A1:J1"/>
    <mergeCell ref="A2:J2"/>
    <mergeCell ref="A94:J94"/>
  </mergeCells>
  <printOptions horizontalCentered="1" verticalCentered="1"/>
  <pageMargins left="0.25" right="0.25" top="0.75" bottom="0.75" header="0.3" footer="0.3"/>
  <pageSetup paperSize="9" scale="5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7">
    <tabColor indexed="57"/>
    <outlinePr applyStyles="1" summaryBelow="0"/>
    <pageSetUpPr fitToPage="1"/>
  </sheetPr>
  <dimension ref="A2:M247"/>
  <sheetViews>
    <sheetView workbookViewId="0">
      <selection activeCell="A7" sqref="A7"/>
    </sheetView>
  </sheetViews>
  <sheetFormatPr defaultColWidth="9.109375" defaultRowHeight="13.8" outlineLevelRow="1" x14ac:dyDescent="0.3"/>
  <cols>
    <col min="1" max="1" width="52.6640625" style="26" bestFit="1" customWidth="1"/>
    <col min="2" max="10" width="15.109375" style="26" customWidth="1"/>
    <col min="11" max="11" width="9.109375" style="26" customWidth="1"/>
    <col min="12" max="16384" width="9.109375" style="26"/>
  </cols>
  <sheetData>
    <row r="2" spans="1:13" ht="18" x14ac:dyDescent="0.3">
      <c r="A2" s="5" t="str">
        <f>DEBT_AS_OF_CURR_YEAR</f>
        <v>Державний та гарантований державою борг України за поточний рік</v>
      </c>
      <c r="B2" s="5"/>
      <c r="C2" s="5"/>
      <c r="D2" s="5"/>
      <c r="E2" s="5"/>
      <c r="F2" s="5"/>
      <c r="G2" s="5"/>
      <c r="H2" s="5"/>
      <c r="I2" s="5"/>
      <c r="J2" s="5"/>
      <c r="K2" s="30"/>
      <c r="L2" s="30"/>
      <c r="M2" s="30"/>
    </row>
    <row r="3" spans="1:13" x14ac:dyDescent="0.3">
      <c r="A3" s="28"/>
    </row>
    <row r="4" spans="1:13" s="31" customFormat="1" x14ac:dyDescent="0.3">
      <c r="A4" s="153" t="str">
        <f>$A$2 &amp; " (" &amp;J4 &amp; ")"</f>
        <v>Державний та гарантований державою борг України за поточний рік (млрд. грн)</v>
      </c>
      <c r="J4" s="31" t="str">
        <f>VALUAH</f>
        <v>млрд. грн</v>
      </c>
    </row>
    <row r="5" spans="1:13" s="18" customFormat="1" x14ac:dyDescent="0.25">
      <c r="A5" s="16"/>
      <c r="B5" s="17">
        <v>46022</v>
      </c>
      <c r="C5" s="17">
        <v>46053</v>
      </c>
      <c r="D5" s="17">
        <v>46081</v>
      </c>
      <c r="E5" s="17">
        <v>46112</v>
      </c>
      <c r="F5" s="17">
        <v>46142</v>
      </c>
      <c r="G5" s="17">
        <v>46173</v>
      </c>
      <c r="H5" s="17">
        <v>46203</v>
      </c>
      <c r="I5" s="17">
        <v>46234</v>
      </c>
      <c r="J5" s="37">
        <v>46265</v>
      </c>
    </row>
    <row r="6" spans="1:13" s="19" customFormat="1" x14ac:dyDescent="0.25">
      <c r="A6" s="162" t="str">
        <f>DEBT_TOTAL</f>
        <v>Загальна сума державного та гарантованого державою боргу</v>
      </c>
      <c r="B6" s="48">
        <f>SUM(B7:B8)</f>
        <v>9042.6770279453904</v>
      </c>
      <c r="C6" s="48">
        <f t="shared" ref="C6:J6" si="0">SUM(C7:C8)</f>
        <v>9212.5998245738901</v>
      </c>
      <c r="D6" s="48">
        <f t="shared" si="0"/>
        <v>9211.1933697349305</v>
      </c>
      <c r="E6" s="48">
        <f t="shared" si="0"/>
        <v>9233.02786687765</v>
      </c>
      <c r="F6" s="48">
        <f t="shared" si="0"/>
        <v>9345.510469896959</v>
      </c>
      <c r="G6" s="48">
        <f t="shared" si="0"/>
        <v>9316.8730357135209</v>
      </c>
      <c r="H6" s="48">
        <f t="shared" si="0"/>
        <v>9490.8752701868307</v>
      </c>
      <c r="I6" s="48">
        <f t="shared" si="0"/>
        <v>9572.4497813650305</v>
      </c>
      <c r="J6" s="48">
        <f t="shared" si="0"/>
        <v>9602.8930637009689</v>
      </c>
    </row>
    <row r="7" spans="1:13" s="42" customFormat="1" outlineLevel="1" x14ac:dyDescent="0.3">
      <c r="A7" s="174" t="s">
        <v>3</v>
      </c>
      <c r="B7" s="175">
        <v>2031.50200194128</v>
      </c>
      <c r="C7" s="175">
        <v>2055.3735050478699</v>
      </c>
      <c r="D7" s="175">
        <v>2072.3017816432898</v>
      </c>
      <c r="E7" s="175">
        <v>2077.05970968987</v>
      </c>
      <c r="F7" s="175">
        <v>2068.3418798098</v>
      </c>
      <c r="G7" s="175">
        <v>2053.6187634325402</v>
      </c>
      <c r="H7" s="175">
        <v>2044.2039153139599</v>
      </c>
      <c r="I7" s="175">
        <v>2074.68094890983</v>
      </c>
      <c r="J7" s="176">
        <v>2065.1785177859101</v>
      </c>
    </row>
    <row r="8" spans="1:13" s="42" customFormat="1" outlineLevel="1" x14ac:dyDescent="0.3">
      <c r="A8" s="174" t="s">
        <v>22</v>
      </c>
      <c r="B8" s="175">
        <v>7011.1750260041099</v>
      </c>
      <c r="C8" s="175">
        <v>7157.2263195260202</v>
      </c>
      <c r="D8" s="175">
        <v>7138.8915880916402</v>
      </c>
      <c r="E8" s="175">
        <v>7155.96815718778</v>
      </c>
      <c r="F8" s="175">
        <v>7277.1685900871598</v>
      </c>
      <c r="G8" s="175">
        <v>7263.2542722809803</v>
      </c>
      <c r="H8" s="175">
        <v>7446.6713548728703</v>
      </c>
      <c r="I8" s="175">
        <v>7497.7688324552</v>
      </c>
      <c r="J8" s="176">
        <v>7537.7145459150597</v>
      </c>
    </row>
    <row r="9" spans="1:13" x14ac:dyDescent="0.3">
      <c r="B9" s="30"/>
      <c r="C9" s="30"/>
      <c r="D9" s="30"/>
      <c r="E9" s="30"/>
      <c r="F9" s="30"/>
      <c r="G9" s="30"/>
      <c r="H9" s="30"/>
      <c r="I9" s="30"/>
      <c r="J9" s="30"/>
      <c r="K9" s="30"/>
    </row>
    <row r="10" spans="1:13" x14ac:dyDescent="0.3">
      <c r="A10" s="153" t="str">
        <f>$A$2 &amp; " (" &amp;J10 &amp; ")"</f>
        <v>Державний та гарантований державою борг України за поточний рік (млрд. дол. США)</v>
      </c>
      <c r="B10" s="30"/>
      <c r="C10" s="30"/>
      <c r="D10" s="30"/>
      <c r="E10" s="30"/>
      <c r="F10" s="30"/>
      <c r="G10" s="30"/>
      <c r="H10" s="30"/>
      <c r="I10" s="30"/>
      <c r="J10" s="31" t="str">
        <f>VALUSD</f>
        <v>млрд. дол. США</v>
      </c>
      <c r="K10" s="30"/>
    </row>
    <row r="11" spans="1:13" s="38" customFormat="1" x14ac:dyDescent="0.3">
      <c r="A11" s="16"/>
      <c r="B11" s="17">
        <v>46022</v>
      </c>
      <c r="C11" s="17">
        <v>46053</v>
      </c>
      <c r="D11" s="17">
        <v>46081</v>
      </c>
      <c r="E11" s="17">
        <v>46112</v>
      </c>
      <c r="F11" s="17">
        <v>46142</v>
      </c>
      <c r="G11" s="17">
        <v>46173</v>
      </c>
      <c r="H11" s="17">
        <v>46203</v>
      </c>
      <c r="I11" s="17">
        <v>46234</v>
      </c>
      <c r="J11" s="37">
        <v>46265</v>
      </c>
      <c r="K11" s="18"/>
      <c r="L11" s="18"/>
      <c r="M11" s="18"/>
    </row>
    <row r="12" spans="1:13" s="40" customFormat="1" x14ac:dyDescent="0.3">
      <c r="A12" s="162" t="str">
        <f>DEBT_TOTAL</f>
        <v>Загальна сума державного та гарантованого державою боргу</v>
      </c>
      <c r="B12" s="48">
        <f t="shared" ref="B12:J12" si="1">SUM(B13:B14)</f>
        <v>213.33206790509001</v>
      </c>
      <c r="C12" s="48">
        <f t="shared" si="1"/>
        <v>215.00502527705999</v>
      </c>
      <c r="D12" s="48">
        <f t="shared" si="1"/>
        <v>213.18209710067001</v>
      </c>
      <c r="E12" s="48">
        <f t="shared" si="1"/>
        <v>210.82138271957999</v>
      </c>
      <c r="F12" s="48">
        <f t="shared" si="1"/>
        <v>212.00286896928003</v>
      </c>
      <c r="G12" s="48">
        <f t="shared" si="1"/>
        <v>210.47802761307</v>
      </c>
      <c r="H12" s="48">
        <f t="shared" si="1"/>
        <v>211.62409906782</v>
      </c>
      <c r="I12" s="48">
        <f t="shared" si="1"/>
        <v>214.18901496844001</v>
      </c>
      <c r="J12" s="48">
        <f t="shared" si="1"/>
        <v>215.55073598984998</v>
      </c>
      <c r="K12" s="39"/>
    </row>
    <row r="13" spans="1:13" s="44" customFormat="1" outlineLevel="1" x14ac:dyDescent="0.3">
      <c r="A13" s="177" t="s">
        <v>3</v>
      </c>
      <c r="B13" s="175">
        <v>47.926573257919998</v>
      </c>
      <c r="C13" s="175">
        <v>47.968612641649997</v>
      </c>
      <c r="D13" s="175">
        <v>47.960955969920001</v>
      </c>
      <c r="E13" s="175">
        <v>47.426327127409998</v>
      </c>
      <c r="F13" s="175">
        <v>46.920327567130002</v>
      </c>
      <c r="G13" s="175">
        <v>46.393422464579999</v>
      </c>
      <c r="H13" s="175">
        <v>45.580918468759997</v>
      </c>
      <c r="I13" s="175">
        <v>46.422167675940003</v>
      </c>
      <c r="J13" s="176">
        <v>46.355899884369997</v>
      </c>
      <c r="K13" s="43"/>
    </row>
    <row r="14" spans="1:13" s="44" customFormat="1" outlineLevel="1" x14ac:dyDescent="0.3">
      <c r="A14" s="177" t="s">
        <v>22</v>
      </c>
      <c r="B14" s="175">
        <v>165.40549464717</v>
      </c>
      <c r="C14" s="175">
        <v>167.03641263540999</v>
      </c>
      <c r="D14" s="175">
        <v>165.22114113075</v>
      </c>
      <c r="E14" s="175">
        <v>163.39505559217</v>
      </c>
      <c r="F14" s="175">
        <v>165.08254140215001</v>
      </c>
      <c r="G14" s="175">
        <v>164.08460514849</v>
      </c>
      <c r="H14" s="175">
        <v>166.04318059906001</v>
      </c>
      <c r="I14" s="175">
        <v>167.76684729249999</v>
      </c>
      <c r="J14" s="176">
        <v>169.19483610547999</v>
      </c>
      <c r="K14" s="43"/>
    </row>
    <row r="15" spans="1:13" x14ac:dyDescent="0.3">
      <c r="B15" s="30"/>
      <c r="C15" s="30"/>
      <c r="D15" s="30"/>
      <c r="E15" s="30"/>
      <c r="F15" s="30"/>
      <c r="G15" s="30"/>
      <c r="H15" s="30"/>
      <c r="I15" s="30"/>
      <c r="J15" s="30"/>
      <c r="K15" s="30"/>
    </row>
    <row r="16" spans="1:13" s="45" customFormat="1" x14ac:dyDescent="0.3">
      <c r="B16" s="46"/>
      <c r="C16" s="46"/>
      <c r="D16" s="46"/>
      <c r="E16" s="46"/>
      <c r="F16" s="46"/>
      <c r="G16" s="46"/>
      <c r="H16" s="46"/>
      <c r="I16" s="46"/>
      <c r="J16" s="41" t="s">
        <v>130</v>
      </c>
      <c r="K16" s="46"/>
    </row>
    <row r="17" spans="1:13" s="38" customFormat="1" x14ac:dyDescent="0.3">
      <c r="A17" s="60"/>
      <c r="B17" s="17">
        <v>46022</v>
      </c>
      <c r="C17" s="17">
        <v>46053</v>
      </c>
      <c r="D17" s="17">
        <v>46081</v>
      </c>
      <c r="E17" s="17">
        <v>46112</v>
      </c>
      <c r="F17" s="17">
        <v>46142</v>
      </c>
      <c r="G17" s="17">
        <v>46173</v>
      </c>
      <c r="H17" s="17">
        <v>46203</v>
      </c>
      <c r="I17" s="17">
        <v>46234</v>
      </c>
      <c r="J17" s="17">
        <v>46265</v>
      </c>
      <c r="K17" s="18"/>
      <c r="L17" s="18"/>
      <c r="M17" s="18"/>
    </row>
    <row r="18" spans="1:13" s="40" customFormat="1" x14ac:dyDescent="0.3">
      <c r="A18" s="163" t="str">
        <f>DEBT_TOTAL</f>
        <v>Загальна сума державного та гарантованого державою боргу</v>
      </c>
      <c r="B18" s="48">
        <f t="shared" ref="B18:J18" si="2">SUM(B19:B20)</f>
        <v>1</v>
      </c>
      <c r="C18" s="48">
        <f t="shared" si="2"/>
        <v>1</v>
      </c>
      <c r="D18" s="48">
        <f t="shared" si="2"/>
        <v>1</v>
      </c>
      <c r="E18" s="48">
        <f t="shared" si="2"/>
        <v>1</v>
      </c>
      <c r="F18" s="48">
        <f t="shared" si="2"/>
        <v>1</v>
      </c>
      <c r="G18" s="48">
        <f t="shared" si="2"/>
        <v>1</v>
      </c>
      <c r="H18" s="48">
        <f t="shared" si="2"/>
        <v>1</v>
      </c>
      <c r="I18" s="48">
        <f t="shared" si="2"/>
        <v>1</v>
      </c>
      <c r="J18" s="48">
        <f t="shared" si="2"/>
        <v>1</v>
      </c>
      <c r="K18" s="39"/>
    </row>
    <row r="19" spans="1:13" s="44" customFormat="1" outlineLevel="1" x14ac:dyDescent="0.3">
      <c r="A19" s="177" t="s">
        <v>3</v>
      </c>
      <c r="B19" s="178">
        <v>0.224657</v>
      </c>
      <c r="C19" s="178">
        <v>0.223105</v>
      </c>
      <c r="D19" s="178">
        <v>0.22497600000000001</v>
      </c>
      <c r="E19" s="178">
        <v>0.22495999999999999</v>
      </c>
      <c r="F19" s="178">
        <v>0.22131899999999999</v>
      </c>
      <c r="G19" s="178">
        <v>0.220419</v>
      </c>
      <c r="H19" s="178">
        <v>0.21538599999999999</v>
      </c>
      <c r="I19" s="178">
        <v>0.21673500000000001</v>
      </c>
      <c r="J19" s="179">
        <v>0.215058</v>
      </c>
      <c r="K19" s="43"/>
    </row>
    <row r="20" spans="1:13" s="44" customFormat="1" outlineLevel="1" x14ac:dyDescent="0.3">
      <c r="A20" s="177" t="s">
        <v>22</v>
      </c>
      <c r="B20" s="178">
        <v>0.775343</v>
      </c>
      <c r="C20" s="178">
        <v>0.776895</v>
      </c>
      <c r="D20" s="178">
        <v>0.77502400000000005</v>
      </c>
      <c r="E20" s="178">
        <v>0.77503999999999995</v>
      </c>
      <c r="F20" s="178">
        <v>0.77868099999999996</v>
      </c>
      <c r="G20" s="178">
        <v>0.77958099999999997</v>
      </c>
      <c r="H20" s="178">
        <v>0.78461400000000003</v>
      </c>
      <c r="I20" s="178">
        <v>0.78326499999999999</v>
      </c>
      <c r="J20" s="179">
        <v>0.78494200000000003</v>
      </c>
      <c r="K20" s="43"/>
    </row>
    <row r="21" spans="1:13" x14ac:dyDescent="0.3">
      <c r="B21" s="30"/>
      <c r="C21" s="30"/>
      <c r="D21" s="30"/>
      <c r="E21" s="30"/>
      <c r="F21" s="30"/>
      <c r="G21" s="30"/>
      <c r="H21" s="30"/>
      <c r="I21" s="30"/>
      <c r="J21" s="30"/>
      <c r="K21" s="30"/>
    </row>
    <row r="22" spans="1:13" x14ac:dyDescent="0.3">
      <c r="B22" s="30"/>
      <c r="C22" s="30"/>
      <c r="D22" s="30"/>
      <c r="E22" s="30"/>
      <c r="F22" s="30"/>
      <c r="G22" s="30"/>
      <c r="H22" s="30"/>
      <c r="I22" s="30"/>
      <c r="J22" s="30"/>
      <c r="K22" s="30"/>
    </row>
    <row r="23" spans="1:13" x14ac:dyDescent="0.3">
      <c r="B23" s="30"/>
      <c r="C23" s="30"/>
      <c r="D23" s="30"/>
      <c r="E23" s="30"/>
      <c r="F23" s="30"/>
      <c r="G23" s="30"/>
      <c r="H23" s="30"/>
      <c r="I23" s="30"/>
      <c r="J23" s="30"/>
      <c r="K23" s="30"/>
    </row>
    <row r="24" spans="1:13" x14ac:dyDescent="0.3">
      <c r="B24" s="30"/>
      <c r="C24" s="30"/>
      <c r="D24" s="30"/>
      <c r="E24" s="30"/>
      <c r="F24" s="30"/>
      <c r="G24" s="30"/>
      <c r="H24" s="30"/>
      <c r="I24" s="30"/>
      <c r="J24" s="30"/>
      <c r="K24" s="30"/>
    </row>
    <row r="25" spans="1:13" s="45" customFormat="1" x14ac:dyDescent="0.3">
      <c r="B25" s="46"/>
      <c r="C25" s="46"/>
      <c r="D25" s="46"/>
      <c r="E25" s="46"/>
      <c r="F25" s="46"/>
      <c r="G25" s="46"/>
      <c r="H25" s="46"/>
      <c r="I25" s="46"/>
      <c r="J25" s="46"/>
      <c r="K25" s="46"/>
    </row>
    <row r="26" spans="1:13" x14ac:dyDescent="0.3">
      <c r="B26" s="30"/>
      <c r="C26" s="30"/>
      <c r="D26" s="30"/>
      <c r="E26" s="30"/>
      <c r="F26" s="30"/>
      <c r="G26" s="30"/>
      <c r="H26" s="30"/>
      <c r="I26" s="30"/>
      <c r="J26" s="30"/>
      <c r="K26" s="30"/>
    </row>
    <row r="27" spans="1:13" x14ac:dyDescent="0.3">
      <c r="B27" s="30"/>
      <c r="C27" s="30"/>
      <c r="D27" s="30"/>
      <c r="E27" s="30"/>
      <c r="F27" s="30"/>
      <c r="G27" s="30"/>
      <c r="H27" s="30"/>
      <c r="I27" s="30"/>
      <c r="J27" s="30"/>
      <c r="K27" s="30"/>
    </row>
    <row r="28" spans="1:13" x14ac:dyDescent="0.3">
      <c r="B28" s="30"/>
      <c r="C28" s="30"/>
      <c r="D28" s="30"/>
      <c r="E28" s="30"/>
      <c r="F28" s="30"/>
      <c r="G28" s="30"/>
      <c r="H28" s="30"/>
      <c r="I28" s="30"/>
      <c r="J28" s="30"/>
      <c r="K28" s="30"/>
    </row>
    <row r="29" spans="1:13" x14ac:dyDescent="0.3">
      <c r="B29" s="30"/>
      <c r="C29" s="30"/>
      <c r="D29" s="30"/>
      <c r="E29" s="30"/>
      <c r="F29" s="30"/>
      <c r="G29" s="30"/>
      <c r="H29" s="30"/>
      <c r="I29" s="30"/>
      <c r="J29" s="30"/>
      <c r="K29" s="30"/>
    </row>
    <row r="30" spans="1:13" x14ac:dyDescent="0.3">
      <c r="B30" s="30"/>
      <c r="C30" s="30"/>
      <c r="D30" s="30"/>
      <c r="E30" s="30"/>
      <c r="F30" s="30"/>
      <c r="G30" s="30"/>
      <c r="H30" s="30"/>
      <c r="I30" s="30"/>
      <c r="J30" s="30"/>
      <c r="K30" s="30"/>
    </row>
    <row r="31" spans="1:13" x14ac:dyDescent="0.3">
      <c r="B31" s="30"/>
      <c r="C31" s="30"/>
      <c r="D31" s="30"/>
      <c r="E31" s="30"/>
      <c r="F31" s="30"/>
      <c r="G31" s="30"/>
      <c r="H31" s="30"/>
      <c r="I31" s="30"/>
      <c r="J31" s="30"/>
      <c r="K31" s="30"/>
    </row>
    <row r="32" spans="1:13" x14ac:dyDescent="0.3">
      <c r="B32" s="30"/>
      <c r="C32" s="30"/>
      <c r="D32" s="30"/>
      <c r="E32" s="30"/>
      <c r="F32" s="30"/>
      <c r="G32" s="30"/>
      <c r="H32" s="30"/>
      <c r="I32" s="30"/>
      <c r="J32" s="30"/>
      <c r="K32" s="30"/>
    </row>
    <row r="33" spans="2:11" x14ac:dyDescent="0.3">
      <c r="B33" s="30"/>
      <c r="C33" s="30"/>
      <c r="D33" s="30"/>
      <c r="E33" s="30"/>
      <c r="F33" s="30"/>
      <c r="G33" s="30"/>
      <c r="H33" s="30"/>
      <c r="I33" s="30"/>
      <c r="J33" s="30"/>
      <c r="K33" s="30"/>
    </row>
    <row r="34" spans="2:11" x14ac:dyDescent="0.3">
      <c r="B34" s="30"/>
      <c r="C34" s="30"/>
      <c r="D34" s="30"/>
      <c r="E34" s="30"/>
      <c r="F34" s="30"/>
      <c r="G34" s="30"/>
      <c r="H34" s="30"/>
      <c r="I34" s="30"/>
      <c r="J34" s="30"/>
      <c r="K34" s="30"/>
    </row>
    <row r="35" spans="2:11" x14ac:dyDescent="0.3">
      <c r="B35" s="30"/>
      <c r="C35" s="30"/>
      <c r="D35" s="30"/>
      <c r="E35" s="30"/>
      <c r="F35" s="30"/>
      <c r="G35" s="30"/>
      <c r="H35" s="30"/>
      <c r="I35" s="30"/>
      <c r="J35" s="30"/>
      <c r="K35" s="30"/>
    </row>
    <row r="36" spans="2:11" x14ac:dyDescent="0.3">
      <c r="B36" s="30"/>
      <c r="C36" s="30"/>
      <c r="D36" s="30"/>
      <c r="E36" s="30"/>
      <c r="F36" s="30"/>
      <c r="G36" s="30"/>
      <c r="H36" s="30"/>
      <c r="I36" s="30"/>
      <c r="J36" s="30"/>
      <c r="K36" s="30"/>
    </row>
    <row r="37" spans="2:11" x14ac:dyDescent="0.3">
      <c r="B37" s="30"/>
      <c r="C37" s="30"/>
      <c r="D37" s="30"/>
      <c r="E37" s="30"/>
      <c r="F37" s="30"/>
      <c r="G37" s="30"/>
      <c r="H37" s="30"/>
      <c r="I37" s="30"/>
      <c r="J37" s="30"/>
      <c r="K37" s="30"/>
    </row>
    <row r="38" spans="2:11" x14ac:dyDescent="0.3">
      <c r="B38" s="30"/>
      <c r="C38" s="30"/>
      <c r="D38" s="30"/>
      <c r="E38" s="30"/>
      <c r="F38" s="30"/>
      <c r="G38" s="30"/>
      <c r="H38" s="30"/>
      <c r="I38" s="30"/>
      <c r="J38" s="30"/>
      <c r="K38" s="30"/>
    </row>
    <row r="39" spans="2:11" x14ac:dyDescent="0.3">
      <c r="B39" s="30"/>
      <c r="C39" s="30"/>
      <c r="D39" s="30"/>
      <c r="E39" s="30"/>
      <c r="F39" s="30"/>
      <c r="G39" s="30"/>
      <c r="H39" s="30"/>
      <c r="I39" s="30"/>
      <c r="J39" s="30"/>
      <c r="K39" s="30"/>
    </row>
    <row r="40" spans="2:11" x14ac:dyDescent="0.3">
      <c r="B40" s="30"/>
      <c r="C40" s="30"/>
      <c r="D40" s="30"/>
      <c r="E40" s="30"/>
      <c r="F40" s="30"/>
      <c r="G40" s="30"/>
      <c r="H40" s="30"/>
      <c r="I40" s="30"/>
      <c r="J40" s="30"/>
      <c r="K40" s="30"/>
    </row>
    <row r="41" spans="2:11" x14ac:dyDescent="0.3">
      <c r="B41" s="30"/>
      <c r="C41" s="30"/>
      <c r="D41" s="30"/>
      <c r="E41" s="30"/>
      <c r="F41" s="30"/>
      <c r="G41" s="30"/>
      <c r="H41" s="30"/>
      <c r="I41" s="30"/>
      <c r="J41" s="30"/>
      <c r="K41" s="30"/>
    </row>
    <row r="42" spans="2:11" x14ac:dyDescent="0.3">
      <c r="B42" s="30"/>
      <c r="C42" s="30"/>
      <c r="D42" s="30"/>
      <c r="E42" s="30"/>
      <c r="F42" s="30"/>
      <c r="G42" s="30"/>
      <c r="H42" s="30"/>
      <c r="I42" s="30"/>
      <c r="J42" s="30"/>
      <c r="K42" s="30"/>
    </row>
    <row r="43" spans="2:11" x14ac:dyDescent="0.3">
      <c r="B43" s="30"/>
      <c r="C43" s="30"/>
      <c r="D43" s="30"/>
      <c r="E43" s="30"/>
      <c r="F43" s="30"/>
      <c r="G43" s="30"/>
      <c r="H43" s="30"/>
      <c r="I43" s="30"/>
      <c r="J43" s="30"/>
      <c r="K43" s="30"/>
    </row>
    <row r="44" spans="2:11" x14ac:dyDescent="0.3">
      <c r="B44" s="30"/>
      <c r="C44" s="30"/>
      <c r="D44" s="30"/>
      <c r="E44" s="30"/>
      <c r="F44" s="30"/>
      <c r="G44" s="30"/>
      <c r="H44" s="30"/>
      <c r="I44" s="30"/>
      <c r="J44" s="30"/>
      <c r="K44" s="30"/>
    </row>
    <row r="45" spans="2:11" x14ac:dyDescent="0.3">
      <c r="B45" s="30"/>
      <c r="C45" s="30"/>
      <c r="D45" s="30"/>
      <c r="E45" s="30"/>
      <c r="F45" s="30"/>
      <c r="G45" s="30"/>
      <c r="H45" s="30"/>
      <c r="I45" s="30"/>
      <c r="J45" s="30"/>
      <c r="K45" s="30"/>
    </row>
    <row r="46" spans="2:11" x14ac:dyDescent="0.3">
      <c r="B46" s="30"/>
      <c r="C46" s="30"/>
      <c r="D46" s="30"/>
      <c r="E46" s="30"/>
      <c r="F46" s="30"/>
      <c r="G46" s="30"/>
      <c r="H46" s="30"/>
      <c r="I46" s="30"/>
      <c r="J46" s="30"/>
      <c r="K46" s="30"/>
    </row>
    <row r="47" spans="2:11" x14ac:dyDescent="0.3">
      <c r="B47" s="30"/>
      <c r="C47" s="30"/>
      <c r="D47" s="30"/>
      <c r="E47" s="30"/>
      <c r="F47" s="30"/>
      <c r="G47" s="30"/>
      <c r="H47" s="30"/>
      <c r="I47" s="30"/>
      <c r="J47" s="30"/>
      <c r="K47" s="30"/>
    </row>
    <row r="48" spans="2:11" x14ac:dyDescent="0.3">
      <c r="B48" s="30"/>
      <c r="C48" s="30"/>
      <c r="D48" s="30"/>
      <c r="E48" s="30"/>
      <c r="F48" s="30"/>
      <c r="G48" s="30"/>
      <c r="H48" s="30"/>
      <c r="I48" s="30"/>
      <c r="J48" s="30"/>
      <c r="K48" s="30"/>
    </row>
    <row r="49" spans="2:11" x14ac:dyDescent="0.3">
      <c r="B49" s="30"/>
      <c r="C49" s="30"/>
      <c r="D49" s="30"/>
      <c r="E49" s="30"/>
      <c r="F49" s="30"/>
      <c r="G49" s="30"/>
      <c r="H49" s="30"/>
      <c r="I49" s="30"/>
      <c r="J49" s="30"/>
      <c r="K49" s="30"/>
    </row>
    <row r="50" spans="2:11" x14ac:dyDescent="0.3">
      <c r="B50" s="30"/>
      <c r="C50" s="30"/>
      <c r="D50" s="30"/>
      <c r="E50" s="30"/>
      <c r="F50" s="30"/>
      <c r="G50" s="30"/>
      <c r="H50" s="30"/>
      <c r="I50" s="30"/>
      <c r="J50" s="30"/>
      <c r="K50" s="30"/>
    </row>
    <row r="51" spans="2:11" x14ac:dyDescent="0.3">
      <c r="B51" s="30"/>
      <c r="C51" s="30"/>
      <c r="D51" s="30"/>
      <c r="E51" s="30"/>
      <c r="F51" s="30"/>
      <c r="G51" s="30"/>
      <c r="H51" s="30"/>
      <c r="I51" s="30"/>
      <c r="J51" s="30"/>
      <c r="K51" s="30"/>
    </row>
    <row r="52" spans="2:11" x14ac:dyDescent="0.3">
      <c r="B52" s="30"/>
      <c r="C52" s="30"/>
      <c r="D52" s="30"/>
      <c r="E52" s="30"/>
      <c r="F52" s="30"/>
      <c r="G52" s="30"/>
      <c r="H52" s="30"/>
      <c r="I52" s="30"/>
      <c r="J52" s="30"/>
      <c r="K52" s="30"/>
    </row>
    <row r="53" spans="2:11" x14ac:dyDescent="0.3">
      <c r="B53" s="30"/>
      <c r="C53" s="30"/>
      <c r="D53" s="30"/>
      <c r="E53" s="30"/>
      <c r="F53" s="30"/>
      <c r="G53" s="30"/>
      <c r="H53" s="30"/>
      <c r="I53" s="30"/>
      <c r="J53" s="30"/>
      <c r="K53" s="30"/>
    </row>
    <row r="54" spans="2:11" x14ac:dyDescent="0.3">
      <c r="B54" s="30"/>
      <c r="C54" s="30"/>
      <c r="D54" s="30"/>
      <c r="E54" s="30"/>
      <c r="F54" s="30"/>
      <c r="G54" s="30"/>
      <c r="H54" s="30"/>
      <c r="I54" s="30"/>
      <c r="J54" s="30"/>
      <c r="K54" s="30"/>
    </row>
    <row r="55" spans="2:11" x14ac:dyDescent="0.3">
      <c r="B55" s="30"/>
      <c r="C55" s="30"/>
      <c r="D55" s="30"/>
      <c r="E55" s="30"/>
      <c r="F55" s="30"/>
      <c r="G55" s="30"/>
      <c r="H55" s="30"/>
      <c r="I55" s="30"/>
      <c r="J55" s="30"/>
      <c r="K55" s="30"/>
    </row>
    <row r="56" spans="2:11" x14ac:dyDescent="0.3">
      <c r="B56" s="30"/>
      <c r="C56" s="30"/>
      <c r="D56" s="30"/>
      <c r="E56" s="30"/>
      <c r="F56" s="30"/>
      <c r="G56" s="30"/>
      <c r="H56" s="30"/>
      <c r="I56" s="30"/>
      <c r="J56" s="30"/>
      <c r="K56" s="30"/>
    </row>
    <row r="57" spans="2:11" x14ac:dyDescent="0.3">
      <c r="B57" s="30"/>
      <c r="C57" s="30"/>
      <c r="D57" s="30"/>
      <c r="E57" s="30"/>
      <c r="F57" s="30"/>
      <c r="G57" s="30"/>
      <c r="H57" s="30"/>
      <c r="I57" s="30"/>
      <c r="J57" s="30"/>
      <c r="K57" s="30"/>
    </row>
    <row r="58" spans="2:11" x14ac:dyDescent="0.3">
      <c r="B58" s="30"/>
      <c r="C58" s="30"/>
      <c r="D58" s="30"/>
      <c r="E58" s="30"/>
      <c r="F58" s="30"/>
      <c r="G58" s="30"/>
      <c r="H58" s="30"/>
      <c r="I58" s="30"/>
      <c r="J58" s="30"/>
      <c r="K58" s="30"/>
    </row>
    <row r="59" spans="2:11" x14ac:dyDescent="0.3">
      <c r="B59" s="30"/>
      <c r="C59" s="30"/>
      <c r="D59" s="30"/>
      <c r="E59" s="30"/>
      <c r="F59" s="30"/>
      <c r="G59" s="30"/>
      <c r="H59" s="30"/>
      <c r="I59" s="30"/>
      <c r="J59" s="30"/>
      <c r="K59" s="30"/>
    </row>
    <row r="60" spans="2:11" x14ac:dyDescent="0.3">
      <c r="B60" s="30"/>
      <c r="C60" s="30"/>
      <c r="D60" s="30"/>
      <c r="E60" s="30"/>
      <c r="F60" s="30"/>
      <c r="G60" s="30"/>
      <c r="H60" s="30"/>
      <c r="I60" s="30"/>
      <c r="J60" s="30"/>
      <c r="K60" s="30"/>
    </row>
    <row r="61" spans="2:11" x14ac:dyDescent="0.3">
      <c r="B61" s="30"/>
      <c r="C61" s="30"/>
      <c r="D61" s="30"/>
      <c r="E61" s="30"/>
      <c r="F61" s="30"/>
      <c r="G61" s="30"/>
      <c r="H61" s="30"/>
      <c r="I61" s="30"/>
      <c r="J61" s="30"/>
      <c r="K61" s="30"/>
    </row>
    <row r="62" spans="2:11" x14ac:dyDescent="0.3">
      <c r="B62" s="30"/>
      <c r="C62" s="30"/>
      <c r="D62" s="30"/>
      <c r="E62" s="30"/>
      <c r="F62" s="30"/>
      <c r="G62" s="30"/>
      <c r="H62" s="30"/>
      <c r="I62" s="30"/>
      <c r="J62" s="30"/>
      <c r="K62" s="30"/>
    </row>
    <row r="63" spans="2:11" x14ac:dyDescent="0.3">
      <c r="B63" s="30"/>
      <c r="C63" s="30"/>
      <c r="D63" s="30"/>
      <c r="E63" s="30"/>
      <c r="F63" s="30"/>
      <c r="G63" s="30"/>
      <c r="H63" s="30"/>
      <c r="I63" s="30"/>
      <c r="J63" s="30"/>
      <c r="K63" s="30"/>
    </row>
    <row r="64" spans="2:11" x14ac:dyDescent="0.3">
      <c r="B64" s="30"/>
      <c r="C64" s="30"/>
      <c r="D64" s="30"/>
      <c r="E64" s="30"/>
      <c r="F64" s="30"/>
      <c r="G64" s="30"/>
      <c r="H64" s="30"/>
      <c r="I64" s="30"/>
      <c r="J64" s="30"/>
      <c r="K64" s="30"/>
    </row>
    <row r="65" spans="2:11" x14ac:dyDescent="0.3">
      <c r="B65" s="30"/>
      <c r="C65" s="30"/>
      <c r="D65" s="30"/>
      <c r="E65" s="30"/>
      <c r="F65" s="30"/>
      <c r="G65" s="30"/>
      <c r="H65" s="30"/>
      <c r="I65" s="30"/>
      <c r="J65" s="30"/>
      <c r="K65" s="30"/>
    </row>
    <row r="66" spans="2:11" x14ac:dyDescent="0.3">
      <c r="B66" s="30"/>
      <c r="C66" s="30"/>
      <c r="D66" s="30"/>
      <c r="E66" s="30"/>
      <c r="F66" s="30"/>
      <c r="G66" s="30"/>
      <c r="H66" s="30"/>
      <c r="I66" s="30"/>
      <c r="J66" s="30"/>
      <c r="K66" s="30"/>
    </row>
    <row r="67" spans="2:11" x14ac:dyDescent="0.3">
      <c r="B67" s="30"/>
      <c r="C67" s="30"/>
      <c r="D67" s="30"/>
      <c r="E67" s="30"/>
      <c r="F67" s="30"/>
      <c r="G67" s="30"/>
      <c r="H67" s="30"/>
      <c r="I67" s="30"/>
      <c r="J67" s="30"/>
      <c r="K67" s="30"/>
    </row>
    <row r="68" spans="2:11" x14ac:dyDescent="0.3">
      <c r="B68" s="30"/>
      <c r="C68" s="30"/>
      <c r="D68" s="30"/>
      <c r="E68" s="30"/>
      <c r="F68" s="30"/>
      <c r="G68" s="30"/>
      <c r="H68" s="30"/>
      <c r="I68" s="30"/>
      <c r="J68" s="30"/>
      <c r="K68" s="30"/>
    </row>
    <row r="69" spans="2:11" x14ac:dyDescent="0.3">
      <c r="B69" s="30"/>
      <c r="C69" s="30"/>
      <c r="D69" s="30"/>
      <c r="E69" s="30"/>
      <c r="F69" s="30"/>
      <c r="G69" s="30"/>
      <c r="H69" s="30"/>
      <c r="I69" s="30"/>
      <c r="J69" s="30"/>
      <c r="K69" s="30"/>
    </row>
    <row r="70" spans="2:11" x14ac:dyDescent="0.3">
      <c r="B70" s="30"/>
      <c r="C70" s="30"/>
      <c r="D70" s="30"/>
      <c r="E70" s="30"/>
      <c r="F70" s="30"/>
      <c r="G70" s="30"/>
      <c r="H70" s="30"/>
      <c r="I70" s="30"/>
      <c r="J70" s="30"/>
      <c r="K70" s="30"/>
    </row>
    <row r="71" spans="2:11" x14ac:dyDescent="0.3">
      <c r="B71" s="30"/>
      <c r="C71" s="30"/>
      <c r="D71" s="30"/>
      <c r="E71" s="30"/>
      <c r="F71" s="30"/>
      <c r="G71" s="30"/>
      <c r="H71" s="30"/>
      <c r="I71" s="30"/>
      <c r="J71" s="30"/>
      <c r="K71" s="30"/>
    </row>
    <row r="72" spans="2:11" x14ac:dyDescent="0.3">
      <c r="B72" s="30"/>
      <c r="C72" s="30"/>
      <c r="D72" s="30"/>
      <c r="E72" s="30"/>
      <c r="F72" s="30"/>
      <c r="G72" s="30"/>
      <c r="H72" s="30"/>
      <c r="I72" s="30"/>
      <c r="J72" s="30"/>
      <c r="K72" s="30"/>
    </row>
    <row r="73" spans="2:11" x14ac:dyDescent="0.3">
      <c r="B73" s="30"/>
      <c r="C73" s="30"/>
      <c r="D73" s="30"/>
      <c r="E73" s="30"/>
      <c r="F73" s="30"/>
      <c r="G73" s="30"/>
      <c r="H73" s="30"/>
      <c r="I73" s="30"/>
      <c r="J73" s="30"/>
      <c r="K73" s="30"/>
    </row>
    <row r="74" spans="2:11" x14ac:dyDescent="0.3">
      <c r="B74" s="30"/>
      <c r="C74" s="30"/>
      <c r="D74" s="30"/>
      <c r="E74" s="30"/>
      <c r="F74" s="30"/>
      <c r="G74" s="30"/>
      <c r="H74" s="30"/>
      <c r="I74" s="30"/>
      <c r="J74" s="30"/>
      <c r="K74" s="30"/>
    </row>
    <row r="75" spans="2:11" x14ac:dyDescent="0.3">
      <c r="B75" s="30"/>
      <c r="C75" s="30"/>
      <c r="D75" s="30"/>
      <c r="E75" s="30"/>
      <c r="F75" s="30"/>
      <c r="G75" s="30"/>
      <c r="H75" s="30"/>
      <c r="I75" s="30"/>
      <c r="J75" s="30"/>
      <c r="K75" s="30"/>
    </row>
    <row r="76" spans="2:11" x14ac:dyDescent="0.3">
      <c r="B76" s="30"/>
      <c r="C76" s="30"/>
      <c r="D76" s="30"/>
      <c r="E76" s="30"/>
      <c r="F76" s="30"/>
      <c r="G76" s="30"/>
      <c r="H76" s="30"/>
      <c r="I76" s="30"/>
      <c r="J76" s="30"/>
      <c r="K76" s="30"/>
    </row>
    <row r="77" spans="2:11" x14ac:dyDescent="0.3">
      <c r="B77" s="30"/>
      <c r="C77" s="30"/>
      <c r="D77" s="30"/>
      <c r="E77" s="30"/>
      <c r="F77" s="30"/>
      <c r="G77" s="30"/>
      <c r="H77" s="30"/>
      <c r="I77" s="30"/>
      <c r="J77" s="30"/>
      <c r="K77" s="30"/>
    </row>
    <row r="78" spans="2:11" x14ac:dyDescent="0.3">
      <c r="B78" s="30"/>
      <c r="C78" s="30"/>
      <c r="D78" s="30"/>
      <c r="E78" s="30"/>
      <c r="F78" s="30"/>
      <c r="G78" s="30"/>
      <c r="H78" s="30"/>
      <c r="I78" s="30"/>
      <c r="J78" s="30"/>
      <c r="K78" s="30"/>
    </row>
    <row r="79" spans="2:11" x14ac:dyDescent="0.3">
      <c r="B79" s="30"/>
      <c r="C79" s="30"/>
      <c r="D79" s="30"/>
      <c r="E79" s="30"/>
      <c r="F79" s="30"/>
      <c r="G79" s="30"/>
      <c r="H79" s="30"/>
      <c r="I79" s="30"/>
      <c r="J79" s="30"/>
      <c r="K79" s="30"/>
    </row>
    <row r="80" spans="2:11" x14ac:dyDescent="0.3">
      <c r="B80" s="30"/>
      <c r="C80" s="30"/>
      <c r="D80" s="30"/>
      <c r="E80" s="30"/>
      <c r="F80" s="30"/>
      <c r="G80" s="30"/>
      <c r="H80" s="30"/>
      <c r="I80" s="30"/>
      <c r="J80" s="30"/>
      <c r="K80" s="30"/>
    </row>
    <row r="81" spans="2:11" x14ac:dyDescent="0.3">
      <c r="B81" s="30"/>
      <c r="C81" s="30"/>
      <c r="D81" s="30"/>
      <c r="E81" s="30"/>
      <c r="F81" s="30"/>
      <c r="G81" s="30"/>
      <c r="H81" s="30"/>
      <c r="I81" s="30"/>
      <c r="J81" s="30"/>
      <c r="K81" s="30"/>
    </row>
    <row r="82" spans="2:11" x14ac:dyDescent="0.3">
      <c r="B82" s="30"/>
      <c r="C82" s="30"/>
      <c r="D82" s="30"/>
      <c r="E82" s="30"/>
      <c r="F82" s="30"/>
      <c r="G82" s="30"/>
      <c r="H82" s="30"/>
      <c r="I82" s="30"/>
      <c r="J82" s="30"/>
      <c r="K82" s="30"/>
    </row>
    <row r="83" spans="2:11" x14ac:dyDescent="0.3">
      <c r="B83" s="30"/>
      <c r="C83" s="30"/>
      <c r="D83" s="30"/>
      <c r="E83" s="30"/>
      <c r="F83" s="30"/>
      <c r="G83" s="30"/>
      <c r="H83" s="30"/>
      <c r="I83" s="30"/>
      <c r="J83" s="30"/>
      <c r="K83" s="30"/>
    </row>
    <row r="84" spans="2:11" x14ac:dyDescent="0.3">
      <c r="B84" s="30"/>
      <c r="C84" s="30"/>
      <c r="D84" s="30"/>
      <c r="E84" s="30"/>
      <c r="F84" s="30"/>
      <c r="G84" s="30"/>
      <c r="H84" s="30"/>
      <c r="I84" s="30"/>
      <c r="J84" s="30"/>
      <c r="K84" s="30"/>
    </row>
    <row r="85" spans="2:11" x14ac:dyDescent="0.3">
      <c r="B85" s="30"/>
      <c r="C85" s="30"/>
      <c r="D85" s="30"/>
      <c r="E85" s="30"/>
      <c r="F85" s="30"/>
      <c r="G85" s="30"/>
      <c r="H85" s="30"/>
      <c r="I85" s="30"/>
      <c r="J85" s="30"/>
      <c r="K85" s="30"/>
    </row>
    <row r="86" spans="2:11" x14ac:dyDescent="0.3">
      <c r="B86" s="30"/>
      <c r="C86" s="30"/>
      <c r="D86" s="30"/>
      <c r="E86" s="30"/>
      <c r="F86" s="30"/>
      <c r="G86" s="30"/>
      <c r="H86" s="30"/>
      <c r="I86" s="30"/>
      <c r="J86" s="30"/>
      <c r="K86" s="30"/>
    </row>
    <row r="87" spans="2:11" x14ac:dyDescent="0.3">
      <c r="B87" s="30"/>
      <c r="C87" s="30"/>
      <c r="D87" s="30"/>
      <c r="E87" s="30"/>
      <c r="F87" s="30"/>
      <c r="G87" s="30"/>
      <c r="H87" s="30"/>
      <c r="I87" s="30"/>
      <c r="J87" s="30"/>
      <c r="K87" s="30"/>
    </row>
    <row r="88" spans="2:11" x14ac:dyDescent="0.3">
      <c r="B88" s="30"/>
      <c r="C88" s="30"/>
      <c r="D88" s="30"/>
      <c r="E88" s="30"/>
      <c r="F88" s="30"/>
      <c r="G88" s="30"/>
      <c r="H88" s="30"/>
      <c r="I88" s="30"/>
      <c r="J88" s="30"/>
      <c r="K88" s="30"/>
    </row>
    <row r="89" spans="2:11" x14ac:dyDescent="0.3">
      <c r="B89" s="30"/>
      <c r="C89" s="30"/>
      <c r="D89" s="30"/>
      <c r="E89" s="30"/>
      <c r="F89" s="30"/>
      <c r="G89" s="30"/>
      <c r="H89" s="30"/>
      <c r="I89" s="30"/>
      <c r="J89" s="30"/>
      <c r="K89" s="30"/>
    </row>
    <row r="90" spans="2:11" x14ac:dyDescent="0.3">
      <c r="B90" s="30"/>
      <c r="C90" s="30"/>
      <c r="D90" s="30"/>
      <c r="E90" s="30"/>
      <c r="F90" s="30"/>
      <c r="G90" s="30"/>
      <c r="H90" s="30"/>
      <c r="I90" s="30"/>
      <c r="J90" s="30"/>
      <c r="K90" s="30"/>
    </row>
    <row r="91" spans="2:11" x14ac:dyDescent="0.3">
      <c r="B91" s="30"/>
      <c r="C91" s="30"/>
      <c r="D91" s="30"/>
      <c r="E91" s="30"/>
      <c r="F91" s="30"/>
      <c r="G91" s="30"/>
      <c r="H91" s="30"/>
      <c r="I91" s="30"/>
      <c r="J91" s="30"/>
      <c r="K91" s="30"/>
    </row>
    <row r="92" spans="2:11" x14ac:dyDescent="0.3">
      <c r="B92" s="30"/>
      <c r="C92" s="30"/>
      <c r="D92" s="30"/>
      <c r="E92" s="30"/>
      <c r="F92" s="30"/>
      <c r="G92" s="30"/>
      <c r="H92" s="30"/>
      <c r="I92" s="30"/>
      <c r="J92" s="30"/>
      <c r="K92" s="30"/>
    </row>
    <row r="93" spans="2:11" x14ac:dyDescent="0.3">
      <c r="B93" s="30"/>
      <c r="C93" s="30"/>
      <c r="D93" s="30"/>
      <c r="E93" s="30"/>
      <c r="F93" s="30"/>
      <c r="G93" s="30"/>
      <c r="H93" s="30"/>
      <c r="I93" s="30"/>
      <c r="J93" s="30"/>
      <c r="K93" s="30"/>
    </row>
    <row r="94" spans="2:11" x14ac:dyDescent="0.3">
      <c r="B94" s="30"/>
      <c r="C94" s="30"/>
      <c r="D94" s="30"/>
      <c r="E94" s="30"/>
      <c r="F94" s="30"/>
      <c r="G94" s="30"/>
      <c r="H94" s="30"/>
      <c r="I94" s="30"/>
      <c r="J94" s="30"/>
      <c r="K94" s="30"/>
    </row>
    <row r="95" spans="2:11" x14ac:dyDescent="0.3">
      <c r="B95" s="30"/>
      <c r="C95" s="30"/>
      <c r="D95" s="30"/>
      <c r="E95" s="30"/>
      <c r="F95" s="30"/>
      <c r="G95" s="30"/>
      <c r="H95" s="30"/>
      <c r="I95" s="30"/>
      <c r="J95" s="30"/>
      <c r="K95" s="30"/>
    </row>
    <row r="96" spans="2:11" x14ac:dyDescent="0.3">
      <c r="B96" s="30"/>
      <c r="C96" s="30"/>
      <c r="D96" s="30"/>
      <c r="E96" s="30"/>
      <c r="F96" s="30"/>
      <c r="G96" s="30"/>
      <c r="H96" s="30"/>
      <c r="I96" s="30"/>
      <c r="J96" s="30"/>
      <c r="K96" s="30"/>
    </row>
    <row r="97" spans="2:11" x14ac:dyDescent="0.3">
      <c r="B97" s="30"/>
      <c r="C97" s="30"/>
      <c r="D97" s="30"/>
      <c r="E97" s="30"/>
      <c r="F97" s="30"/>
      <c r="G97" s="30"/>
      <c r="H97" s="30"/>
      <c r="I97" s="30"/>
      <c r="J97" s="30"/>
      <c r="K97" s="30"/>
    </row>
    <row r="98" spans="2:11" x14ac:dyDescent="0.3">
      <c r="B98" s="30"/>
      <c r="C98" s="30"/>
      <c r="D98" s="30"/>
      <c r="E98" s="30"/>
      <c r="F98" s="30"/>
      <c r="G98" s="30"/>
      <c r="H98" s="30"/>
      <c r="I98" s="30"/>
      <c r="J98" s="30"/>
      <c r="K98" s="30"/>
    </row>
    <row r="99" spans="2:11" x14ac:dyDescent="0.3">
      <c r="B99" s="30"/>
      <c r="C99" s="30"/>
      <c r="D99" s="30"/>
      <c r="E99" s="30"/>
      <c r="F99" s="30"/>
      <c r="G99" s="30"/>
      <c r="H99" s="30"/>
      <c r="I99" s="30"/>
      <c r="J99" s="30"/>
      <c r="K99" s="30"/>
    </row>
    <row r="100" spans="2:11" x14ac:dyDescent="0.3">
      <c r="B100" s="30"/>
      <c r="C100" s="30"/>
      <c r="D100" s="30"/>
      <c r="E100" s="30"/>
      <c r="F100" s="30"/>
      <c r="G100" s="30"/>
      <c r="H100" s="30"/>
      <c r="I100" s="30"/>
      <c r="J100" s="30"/>
      <c r="K100" s="30"/>
    </row>
    <row r="101" spans="2:11" x14ac:dyDescent="0.3">
      <c r="B101" s="30"/>
      <c r="C101" s="30"/>
      <c r="D101" s="30"/>
      <c r="E101" s="30"/>
      <c r="F101" s="30"/>
      <c r="G101" s="30"/>
      <c r="H101" s="30"/>
      <c r="I101" s="30"/>
      <c r="J101" s="30"/>
      <c r="K101" s="30"/>
    </row>
    <row r="102" spans="2:11" x14ac:dyDescent="0.3">
      <c r="B102" s="30"/>
      <c r="C102" s="30"/>
      <c r="D102" s="30"/>
      <c r="E102" s="30"/>
      <c r="F102" s="30"/>
      <c r="G102" s="30"/>
      <c r="H102" s="30"/>
      <c r="I102" s="30"/>
      <c r="J102" s="30"/>
      <c r="K102" s="30"/>
    </row>
    <row r="103" spans="2:11" x14ac:dyDescent="0.3">
      <c r="B103" s="30"/>
      <c r="C103" s="30"/>
      <c r="D103" s="30"/>
      <c r="E103" s="30"/>
      <c r="F103" s="30"/>
      <c r="G103" s="30"/>
      <c r="H103" s="30"/>
      <c r="I103" s="30"/>
      <c r="J103" s="30"/>
      <c r="K103" s="30"/>
    </row>
    <row r="104" spans="2:11" x14ac:dyDescent="0.3">
      <c r="B104" s="30"/>
      <c r="C104" s="30"/>
      <c r="D104" s="30"/>
      <c r="E104" s="30"/>
      <c r="F104" s="30"/>
      <c r="G104" s="30"/>
      <c r="H104" s="30"/>
      <c r="I104" s="30"/>
      <c r="J104" s="30"/>
      <c r="K104" s="30"/>
    </row>
    <row r="105" spans="2:11" x14ac:dyDescent="0.3">
      <c r="B105" s="30"/>
      <c r="C105" s="30"/>
      <c r="D105" s="30"/>
      <c r="E105" s="30"/>
      <c r="F105" s="30"/>
      <c r="G105" s="30"/>
      <c r="H105" s="30"/>
      <c r="I105" s="30"/>
      <c r="J105" s="30"/>
      <c r="K105" s="30"/>
    </row>
    <row r="106" spans="2:11" x14ac:dyDescent="0.3">
      <c r="B106" s="30"/>
      <c r="C106" s="30"/>
      <c r="D106" s="30"/>
      <c r="E106" s="30"/>
      <c r="F106" s="30"/>
      <c r="G106" s="30"/>
      <c r="H106" s="30"/>
      <c r="I106" s="30"/>
      <c r="J106" s="30"/>
      <c r="K106" s="30"/>
    </row>
    <row r="107" spans="2:11" x14ac:dyDescent="0.3">
      <c r="B107" s="30"/>
      <c r="C107" s="30"/>
      <c r="D107" s="30"/>
      <c r="E107" s="30"/>
      <c r="F107" s="30"/>
      <c r="G107" s="30"/>
      <c r="H107" s="30"/>
      <c r="I107" s="30"/>
      <c r="J107" s="30"/>
      <c r="K107" s="30"/>
    </row>
    <row r="108" spans="2:11" x14ac:dyDescent="0.3">
      <c r="B108" s="30"/>
      <c r="C108" s="30"/>
      <c r="D108" s="30"/>
      <c r="E108" s="30"/>
      <c r="F108" s="30"/>
      <c r="G108" s="30"/>
      <c r="H108" s="30"/>
      <c r="I108" s="30"/>
      <c r="J108" s="30"/>
      <c r="K108" s="30"/>
    </row>
    <row r="109" spans="2:11" x14ac:dyDescent="0.3">
      <c r="B109" s="30"/>
      <c r="C109" s="30"/>
      <c r="D109" s="30"/>
      <c r="E109" s="30"/>
      <c r="F109" s="30"/>
      <c r="G109" s="30"/>
      <c r="H109" s="30"/>
      <c r="I109" s="30"/>
      <c r="J109" s="30"/>
      <c r="K109" s="30"/>
    </row>
    <row r="110" spans="2:11" x14ac:dyDescent="0.3">
      <c r="B110" s="30"/>
      <c r="C110" s="30"/>
      <c r="D110" s="30"/>
      <c r="E110" s="30"/>
      <c r="F110" s="30"/>
      <c r="G110" s="30"/>
      <c r="H110" s="30"/>
      <c r="I110" s="30"/>
      <c r="J110" s="30"/>
      <c r="K110" s="30"/>
    </row>
    <row r="111" spans="2:11" x14ac:dyDescent="0.3">
      <c r="B111" s="30"/>
      <c r="C111" s="30"/>
      <c r="D111" s="30"/>
      <c r="E111" s="30"/>
      <c r="F111" s="30"/>
      <c r="G111" s="30"/>
      <c r="H111" s="30"/>
      <c r="I111" s="30"/>
      <c r="J111" s="30"/>
      <c r="K111" s="30"/>
    </row>
    <row r="112" spans="2:11" x14ac:dyDescent="0.3">
      <c r="B112" s="30"/>
      <c r="C112" s="30"/>
      <c r="D112" s="30"/>
      <c r="E112" s="30"/>
      <c r="F112" s="30"/>
      <c r="G112" s="30"/>
      <c r="H112" s="30"/>
      <c r="I112" s="30"/>
      <c r="J112" s="30"/>
      <c r="K112" s="30"/>
    </row>
    <row r="113" spans="2:11" x14ac:dyDescent="0.3">
      <c r="B113" s="30"/>
      <c r="C113" s="30"/>
      <c r="D113" s="30"/>
      <c r="E113" s="30"/>
      <c r="F113" s="30"/>
      <c r="G113" s="30"/>
      <c r="H113" s="30"/>
      <c r="I113" s="30"/>
      <c r="J113" s="30"/>
      <c r="K113" s="30"/>
    </row>
    <row r="114" spans="2:11" x14ac:dyDescent="0.3">
      <c r="B114" s="30"/>
      <c r="C114" s="30"/>
      <c r="D114" s="30"/>
      <c r="E114" s="30"/>
      <c r="F114" s="30"/>
      <c r="G114" s="30"/>
      <c r="H114" s="30"/>
      <c r="I114" s="30"/>
      <c r="J114" s="30"/>
      <c r="K114" s="30"/>
    </row>
    <row r="115" spans="2:11" x14ac:dyDescent="0.3">
      <c r="B115" s="30"/>
      <c r="C115" s="30"/>
      <c r="D115" s="30"/>
      <c r="E115" s="30"/>
      <c r="F115" s="30"/>
      <c r="G115" s="30"/>
      <c r="H115" s="30"/>
      <c r="I115" s="30"/>
      <c r="J115" s="30"/>
      <c r="K115" s="30"/>
    </row>
    <row r="116" spans="2:11" x14ac:dyDescent="0.3">
      <c r="B116" s="30"/>
      <c r="C116" s="30"/>
      <c r="D116" s="30"/>
      <c r="E116" s="30"/>
      <c r="F116" s="30"/>
      <c r="G116" s="30"/>
      <c r="H116" s="30"/>
      <c r="I116" s="30"/>
      <c r="J116" s="30"/>
      <c r="K116" s="30"/>
    </row>
    <row r="117" spans="2:11" x14ac:dyDescent="0.3">
      <c r="B117" s="30"/>
      <c r="C117" s="30"/>
      <c r="D117" s="30"/>
      <c r="E117" s="30"/>
      <c r="F117" s="30"/>
      <c r="G117" s="30"/>
      <c r="H117" s="30"/>
      <c r="I117" s="30"/>
      <c r="J117" s="30"/>
      <c r="K117" s="30"/>
    </row>
    <row r="118" spans="2:11" x14ac:dyDescent="0.3">
      <c r="B118" s="30"/>
      <c r="C118" s="30"/>
      <c r="D118" s="30"/>
      <c r="E118" s="30"/>
      <c r="F118" s="30"/>
      <c r="G118" s="30"/>
      <c r="H118" s="30"/>
      <c r="I118" s="30"/>
      <c r="J118" s="30"/>
      <c r="K118" s="30"/>
    </row>
    <row r="119" spans="2:11" x14ac:dyDescent="0.3">
      <c r="B119" s="30"/>
      <c r="C119" s="30"/>
      <c r="D119" s="30"/>
      <c r="E119" s="30"/>
      <c r="F119" s="30"/>
      <c r="G119" s="30"/>
      <c r="H119" s="30"/>
      <c r="I119" s="30"/>
      <c r="J119" s="30"/>
      <c r="K119" s="30"/>
    </row>
    <row r="120" spans="2:11" x14ac:dyDescent="0.3">
      <c r="B120" s="30"/>
      <c r="C120" s="30"/>
      <c r="D120" s="30"/>
      <c r="E120" s="30"/>
      <c r="F120" s="30"/>
      <c r="G120" s="30"/>
      <c r="H120" s="30"/>
      <c r="I120" s="30"/>
      <c r="J120" s="30"/>
      <c r="K120" s="30"/>
    </row>
    <row r="121" spans="2:11" x14ac:dyDescent="0.3">
      <c r="B121" s="30"/>
      <c r="C121" s="30"/>
      <c r="D121" s="30"/>
      <c r="E121" s="30"/>
      <c r="F121" s="30"/>
      <c r="G121" s="30"/>
      <c r="H121" s="30"/>
      <c r="I121" s="30"/>
      <c r="J121" s="30"/>
      <c r="K121" s="30"/>
    </row>
    <row r="122" spans="2:11" x14ac:dyDescent="0.3">
      <c r="B122" s="30"/>
      <c r="C122" s="30"/>
      <c r="D122" s="30"/>
      <c r="E122" s="30"/>
      <c r="F122" s="30"/>
      <c r="G122" s="30"/>
      <c r="H122" s="30"/>
      <c r="I122" s="30"/>
      <c r="J122" s="30"/>
      <c r="K122" s="30"/>
    </row>
    <row r="123" spans="2:11" x14ac:dyDescent="0.3">
      <c r="B123" s="30"/>
      <c r="C123" s="30"/>
      <c r="D123" s="30"/>
      <c r="E123" s="30"/>
      <c r="F123" s="30"/>
      <c r="G123" s="30"/>
      <c r="H123" s="30"/>
      <c r="I123" s="30"/>
      <c r="J123" s="30"/>
      <c r="K123" s="30"/>
    </row>
    <row r="124" spans="2:11" x14ac:dyDescent="0.3">
      <c r="B124" s="30"/>
      <c r="C124" s="30"/>
      <c r="D124" s="30"/>
      <c r="E124" s="30"/>
      <c r="F124" s="30"/>
      <c r="G124" s="30"/>
      <c r="H124" s="30"/>
      <c r="I124" s="30"/>
      <c r="J124" s="30"/>
      <c r="K124" s="30"/>
    </row>
    <row r="125" spans="2:11" x14ac:dyDescent="0.3">
      <c r="B125" s="30"/>
      <c r="C125" s="30"/>
      <c r="D125" s="30"/>
      <c r="E125" s="30"/>
      <c r="F125" s="30"/>
      <c r="G125" s="30"/>
      <c r="H125" s="30"/>
      <c r="I125" s="30"/>
      <c r="J125" s="30"/>
      <c r="K125" s="30"/>
    </row>
    <row r="126" spans="2:11" x14ac:dyDescent="0.3">
      <c r="B126" s="30"/>
      <c r="C126" s="30"/>
      <c r="D126" s="30"/>
      <c r="E126" s="30"/>
      <c r="F126" s="30"/>
      <c r="G126" s="30"/>
      <c r="H126" s="30"/>
      <c r="I126" s="30"/>
      <c r="J126" s="30"/>
      <c r="K126" s="30"/>
    </row>
    <row r="127" spans="2:11" x14ac:dyDescent="0.3">
      <c r="B127" s="30"/>
      <c r="C127" s="30"/>
      <c r="D127" s="30"/>
      <c r="E127" s="30"/>
      <c r="F127" s="30"/>
      <c r="G127" s="30"/>
      <c r="H127" s="30"/>
      <c r="I127" s="30"/>
      <c r="J127" s="30"/>
      <c r="K127" s="30"/>
    </row>
    <row r="128" spans="2:11" x14ac:dyDescent="0.3">
      <c r="B128" s="30"/>
      <c r="C128" s="30"/>
      <c r="D128" s="30"/>
      <c r="E128" s="30"/>
      <c r="F128" s="30"/>
      <c r="G128" s="30"/>
      <c r="H128" s="30"/>
      <c r="I128" s="30"/>
      <c r="J128" s="30"/>
      <c r="K128" s="30"/>
    </row>
    <row r="129" spans="2:11" x14ac:dyDescent="0.3">
      <c r="B129" s="30"/>
      <c r="C129" s="30"/>
      <c r="D129" s="30"/>
      <c r="E129" s="30"/>
      <c r="F129" s="30"/>
      <c r="G129" s="30"/>
      <c r="H129" s="30"/>
      <c r="I129" s="30"/>
      <c r="J129" s="30"/>
      <c r="K129" s="30"/>
    </row>
    <row r="130" spans="2:11" x14ac:dyDescent="0.3">
      <c r="B130" s="30"/>
      <c r="C130" s="30"/>
      <c r="D130" s="30"/>
      <c r="E130" s="30"/>
      <c r="F130" s="30"/>
      <c r="G130" s="30"/>
      <c r="H130" s="30"/>
      <c r="I130" s="30"/>
      <c r="J130" s="30"/>
      <c r="K130" s="30"/>
    </row>
    <row r="131" spans="2:11" x14ac:dyDescent="0.3">
      <c r="B131" s="30"/>
      <c r="C131" s="30"/>
      <c r="D131" s="30"/>
      <c r="E131" s="30"/>
      <c r="F131" s="30"/>
      <c r="G131" s="30"/>
      <c r="H131" s="30"/>
      <c r="I131" s="30"/>
      <c r="J131" s="30"/>
      <c r="K131" s="30"/>
    </row>
    <row r="132" spans="2:11" x14ac:dyDescent="0.3">
      <c r="B132" s="30"/>
      <c r="C132" s="30"/>
      <c r="D132" s="30"/>
      <c r="E132" s="30"/>
      <c r="F132" s="30"/>
      <c r="G132" s="30"/>
      <c r="H132" s="30"/>
      <c r="I132" s="30"/>
      <c r="J132" s="30"/>
      <c r="K132" s="30"/>
    </row>
    <row r="133" spans="2:11" x14ac:dyDescent="0.3">
      <c r="B133" s="30"/>
      <c r="C133" s="30"/>
      <c r="D133" s="30"/>
      <c r="E133" s="30"/>
      <c r="F133" s="30"/>
      <c r="G133" s="30"/>
      <c r="H133" s="30"/>
      <c r="I133" s="30"/>
      <c r="J133" s="30"/>
      <c r="K133" s="30"/>
    </row>
    <row r="134" spans="2:11" x14ac:dyDescent="0.3">
      <c r="B134" s="30"/>
      <c r="C134" s="30"/>
      <c r="D134" s="30"/>
      <c r="E134" s="30"/>
      <c r="F134" s="30"/>
      <c r="G134" s="30"/>
      <c r="H134" s="30"/>
      <c r="I134" s="30"/>
      <c r="J134" s="30"/>
      <c r="K134" s="30"/>
    </row>
    <row r="135" spans="2:11" x14ac:dyDescent="0.3">
      <c r="B135" s="30"/>
      <c r="C135" s="30"/>
      <c r="D135" s="30"/>
      <c r="E135" s="30"/>
      <c r="F135" s="30"/>
      <c r="G135" s="30"/>
      <c r="H135" s="30"/>
      <c r="I135" s="30"/>
      <c r="J135" s="30"/>
      <c r="K135" s="30"/>
    </row>
    <row r="136" spans="2:11" x14ac:dyDescent="0.3">
      <c r="B136" s="30"/>
      <c r="C136" s="30"/>
      <c r="D136" s="30"/>
      <c r="E136" s="30"/>
      <c r="F136" s="30"/>
      <c r="G136" s="30"/>
      <c r="H136" s="30"/>
      <c r="I136" s="30"/>
      <c r="J136" s="30"/>
      <c r="K136" s="30"/>
    </row>
    <row r="137" spans="2:11" x14ac:dyDescent="0.3">
      <c r="B137" s="30"/>
      <c r="C137" s="30"/>
      <c r="D137" s="30"/>
      <c r="E137" s="30"/>
      <c r="F137" s="30"/>
      <c r="G137" s="30"/>
      <c r="H137" s="30"/>
      <c r="I137" s="30"/>
      <c r="J137" s="30"/>
      <c r="K137" s="30"/>
    </row>
    <row r="138" spans="2:11" x14ac:dyDescent="0.3">
      <c r="B138" s="30"/>
      <c r="C138" s="30"/>
      <c r="D138" s="30"/>
      <c r="E138" s="30"/>
      <c r="F138" s="30"/>
      <c r="G138" s="30"/>
      <c r="H138" s="30"/>
      <c r="I138" s="30"/>
      <c r="J138" s="30"/>
      <c r="K138" s="30"/>
    </row>
    <row r="139" spans="2:11" x14ac:dyDescent="0.3">
      <c r="B139" s="30"/>
      <c r="C139" s="30"/>
      <c r="D139" s="30"/>
      <c r="E139" s="30"/>
      <c r="F139" s="30"/>
      <c r="G139" s="30"/>
      <c r="H139" s="30"/>
      <c r="I139" s="30"/>
      <c r="J139" s="30"/>
      <c r="K139" s="30"/>
    </row>
    <row r="140" spans="2:11" x14ac:dyDescent="0.3">
      <c r="B140" s="30"/>
      <c r="C140" s="30"/>
      <c r="D140" s="30"/>
      <c r="E140" s="30"/>
      <c r="F140" s="30"/>
      <c r="G140" s="30"/>
      <c r="H140" s="30"/>
      <c r="I140" s="30"/>
      <c r="J140" s="30"/>
      <c r="K140" s="30"/>
    </row>
    <row r="141" spans="2:11" x14ac:dyDescent="0.3">
      <c r="B141" s="30"/>
      <c r="C141" s="30"/>
      <c r="D141" s="30"/>
      <c r="E141" s="30"/>
      <c r="F141" s="30"/>
      <c r="G141" s="30"/>
      <c r="H141" s="30"/>
      <c r="I141" s="30"/>
      <c r="J141" s="30"/>
      <c r="K141" s="30"/>
    </row>
    <row r="142" spans="2:11" x14ac:dyDescent="0.3">
      <c r="B142" s="30"/>
      <c r="C142" s="30"/>
      <c r="D142" s="30"/>
      <c r="E142" s="30"/>
      <c r="F142" s="30"/>
      <c r="G142" s="30"/>
      <c r="H142" s="30"/>
      <c r="I142" s="30"/>
      <c r="J142" s="30"/>
      <c r="K142" s="30"/>
    </row>
    <row r="143" spans="2:11" x14ac:dyDescent="0.3">
      <c r="B143" s="30"/>
      <c r="C143" s="30"/>
      <c r="D143" s="30"/>
      <c r="E143" s="30"/>
      <c r="F143" s="30"/>
      <c r="G143" s="30"/>
      <c r="H143" s="30"/>
      <c r="I143" s="30"/>
      <c r="J143" s="30"/>
      <c r="K143" s="30"/>
    </row>
    <row r="144" spans="2:11" x14ac:dyDescent="0.3">
      <c r="B144" s="30"/>
      <c r="C144" s="30"/>
      <c r="D144" s="30"/>
      <c r="E144" s="30"/>
      <c r="F144" s="30"/>
      <c r="G144" s="30"/>
      <c r="H144" s="30"/>
      <c r="I144" s="30"/>
      <c r="J144" s="30"/>
      <c r="K144" s="30"/>
    </row>
    <row r="145" spans="2:11" x14ac:dyDescent="0.3">
      <c r="B145" s="30"/>
      <c r="C145" s="30"/>
      <c r="D145" s="30"/>
      <c r="E145" s="30"/>
      <c r="F145" s="30"/>
      <c r="G145" s="30"/>
      <c r="H145" s="30"/>
      <c r="I145" s="30"/>
      <c r="J145" s="30"/>
      <c r="K145" s="30"/>
    </row>
    <row r="146" spans="2:11" x14ac:dyDescent="0.3">
      <c r="B146" s="30"/>
      <c r="C146" s="30"/>
      <c r="D146" s="30"/>
      <c r="E146" s="30"/>
      <c r="F146" s="30"/>
      <c r="G146" s="30"/>
      <c r="H146" s="30"/>
      <c r="I146" s="30"/>
      <c r="J146" s="30"/>
      <c r="K146" s="30"/>
    </row>
    <row r="147" spans="2:11" x14ac:dyDescent="0.3">
      <c r="B147" s="30"/>
      <c r="C147" s="30"/>
      <c r="D147" s="30"/>
      <c r="E147" s="30"/>
      <c r="F147" s="30"/>
      <c r="G147" s="30"/>
      <c r="H147" s="30"/>
      <c r="I147" s="30"/>
      <c r="J147" s="30"/>
      <c r="K147" s="30"/>
    </row>
    <row r="148" spans="2:11" x14ac:dyDescent="0.3">
      <c r="B148" s="30"/>
      <c r="C148" s="30"/>
      <c r="D148" s="30"/>
      <c r="E148" s="30"/>
      <c r="F148" s="30"/>
      <c r="G148" s="30"/>
      <c r="H148" s="30"/>
      <c r="I148" s="30"/>
      <c r="J148" s="30"/>
      <c r="K148" s="30"/>
    </row>
    <row r="149" spans="2:11" x14ac:dyDescent="0.3">
      <c r="B149" s="30"/>
      <c r="C149" s="30"/>
      <c r="D149" s="30"/>
      <c r="E149" s="30"/>
      <c r="F149" s="30"/>
      <c r="G149" s="30"/>
      <c r="H149" s="30"/>
      <c r="I149" s="30"/>
      <c r="J149" s="30"/>
      <c r="K149" s="30"/>
    </row>
    <row r="150" spans="2:11" x14ac:dyDescent="0.3">
      <c r="B150" s="30"/>
      <c r="C150" s="30"/>
      <c r="D150" s="30"/>
      <c r="E150" s="30"/>
      <c r="F150" s="30"/>
      <c r="G150" s="30"/>
      <c r="H150" s="30"/>
      <c r="I150" s="30"/>
      <c r="J150" s="30"/>
      <c r="K150" s="30"/>
    </row>
    <row r="151" spans="2:11" x14ac:dyDescent="0.3">
      <c r="B151" s="30"/>
      <c r="C151" s="30"/>
      <c r="D151" s="30"/>
      <c r="E151" s="30"/>
      <c r="F151" s="30"/>
      <c r="G151" s="30"/>
      <c r="H151" s="30"/>
      <c r="I151" s="30"/>
      <c r="J151" s="30"/>
      <c r="K151" s="30"/>
    </row>
    <row r="152" spans="2:11" x14ac:dyDescent="0.3">
      <c r="B152" s="30"/>
      <c r="C152" s="30"/>
      <c r="D152" s="30"/>
      <c r="E152" s="30"/>
      <c r="F152" s="30"/>
      <c r="G152" s="30"/>
      <c r="H152" s="30"/>
      <c r="I152" s="30"/>
      <c r="J152" s="30"/>
      <c r="K152" s="30"/>
    </row>
    <row r="153" spans="2:11" x14ac:dyDescent="0.3">
      <c r="B153" s="30"/>
      <c r="C153" s="30"/>
      <c r="D153" s="30"/>
      <c r="E153" s="30"/>
      <c r="F153" s="30"/>
      <c r="G153" s="30"/>
      <c r="H153" s="30"/>
      <c r="I153" s="30"/>
      <c r="J153" s="30"/>
      <c r="K153" s="30"/>
    </row>
    <row r="154" spans="2:11" x14ac:dyDescent="0.3">
      <c r="B154" s="30"/>
      <c r="C154" s="30"/>
      <c r="D154" s="30"/>
      <c r="E154" s="30"/>
      <c r="F154" s="30"/>
      <c r="G154" s="30"/>
      <c r="H154" s="30"/>
      <c r="I154" s="30"/>
      <c r="J154" s="30"/>
      <c r="K154" s="30"/>
    </row>
    <row r="155" spans="2:11" x14ac:dyDescent="0.3">
      <c r="B155" s="30"/>
      <c r="C155" s="30"/>
      <c r="D155" s="30"/>
      <c r="E155" s="30"/>
      <c r="F155" s="30"/>
      <c r="G155" s="30"/>
      <c r="H155" s="30"/>
      <c r="I155" s="30"/>
      <c r="J155" s="30"/>
      <c r="K155" s="30"/>
    </row>
    <row r="156" spans="2:11" x14ac:dyDescent="0.3">
      <c r="B156" s="30"/>
      <c r="C156" s="30"/>
      <c r="D156" s="30"/>
      <c r="E156" s="30"/>
      <c r="F156" s="30"/>
      <c r="G156" s="30"/>
      <c r="H156" s="30"/>
      <c r="I156" s="30"/>
      <c r="J156" s="30"/>
      <c r="K156" s="30"/>
    </row>
    <row r="157" spans="2:11" x14ac:dyDescent="0.3">
      <c r="B157" s="30"/>
      <c r="C157" s="30"/>
      <c r="D157" s="30"/>
      <c r="E157" s="30"/>
      <c r="F157" s="30"/>
      <c r="G157" s="30"/>
      <c r="H157" s="30"/>
      <c r="I157" s="30"/>
      <c r="J157" s="30"/>
      <c r="K157" s="30"/>
    </row>
    <row r="158" spans="2:11" x14ac:dyDescent="0.3">
      <c r="B158" s="30"/>
      <c r="C158" s="30"/>
      <c r="D158" s="30"/>
      <c r="E158" s="30"/>
      <c r="F158" s="30"/>
      <c r="G158" s="30"/>
      <c r="H158" s="30"/>
      <c r="I158" s="30"/>
      <c r="J158" s="30"/>
      <c r="K158" s="30"/>
    </row>
    <row r="159" spans="2:11" x14ac:dyDescent="0.3">
      <c r="B159" s="30"/>
      <c r="C159" s="30"/>
      <c r="D159" s="30"/>
      <c r="E159" s="30"/>
      <c r="F159" s="30"/>
      <c r="G159" s="30"/>
      <c r="H159" s="30"/>
      <c r="I159" s="30"/>
      <c r="J159" s="30"/>
      <c r="K159" s="30"/>
    </row>
    <row r="160" spans="2:11" x14ac:dyDescent="0.3">
      <c r="B160" s="30"/>
      <c r="C160" s="30"/>
      <c r="D160" s="30"/>
      <c r="E160" s="30"/>
      <c r="F160" s="30"/>
      <c r="G160" s="30"/>
      <c r="H160" s="30"/>
      <c r="I160" s="30"/>
      <c r="J160" s="30"/>
      <c r="K160" s="30"/>
    </row>
    <row r="161" spans="2:11" x14ac:dyDescent="0.3">
      <c r="B161" s="30"/>
      <c r="C161" s="30"/>
      <c r="D161" s="30"/>
      <c r="E161" s="30"/>
      <c r="F161" s="30"/>
      <c r="G161" s="30"/>
      <c r="H161" s="30"/>
      <c r="I161" s="30"/>
      <c r="J161" s="30"/>
      <c r="K161" s="30"/>
    </row>
    <row r="162" spans="2:11" x14ac:dyDescent="0.3">
      <c r="B162" s="30"/>
      <c r="C162" s="30"/>
      <c r="D162" s="30"/>
      <c r="E162" s="30"/>
      <c r="F162" s="30"/>
      <c r="G162" s="30"/>
      <c r="H162" s="30"/>
      <c r="I162" s="30"/>
      <c r="J162" s="30"/>
      <c r="K162" s="30"/>
    </row>
    <row r="163" spans="2:11" x14ac:dyDescent="0.3">
      <c r="B163" s="30"/>
      <c r="C163" s="30"/>
      <c r="D163" s="30"/>
      <c r="E163" s="30"/>
      <c r="F163" s="30"/>
      <c r="G163" s="30"/>
      <c r="H163" s="30"/>
      <c r="I163" s="30"/>
      <c r="J163" s="30"/>
      <c r="K163" s="30"/>
    </row>
    <row r="164" spans="2:11" x14ac:dyDescent="0.3">
      <c r="B164" s="30"/>
      <c r="C164" s="30"/>
      <c r="D164" s="30"/>
      <c r="E164" s="30"/>
      <c r="F164" s="30"/>
      <c r="G164" s="30"/>
      <c r="H164" s="30"/>
      <c r="I164" s="30"/>
      <c r="J164" s="30"/>
      <c r="K164" s="30"/>
    </row>
    <row r="165" spans="2:11" x14ac:dyDescent="0.3">
      <c r="B165" s="30"/>
      <c r="C165" s="30"/>
      <c r="D165" s="30"/>
      <c r="E165" s="30"/>
      <c r="F165" s="30"/>
      <c r="G165" s="30"/>
      <c r="H165" s="30"/>
      <c r="I165" s="30"/>
      <c r="J165" s="30"/>
      <c r="K165" s="30"/>
    </row>
    <row r="166" spans="2:11" x14ac:dyDescent="0.3">
      <c r="B166" s="30"/>
      <c r="C166" s="30"/>
      <c r="D166" s="30"/>
      <c r="E166" s="30"/>
      <c r="F166" s="30"/>
      <c r="G166" s="30"/>
      <c r="H166" s="30"/>
      <c r="I166" s="30"/>
      <c r="J166" s="30"/>
      <c r="K166" s="30"/>
    </row>
    <row r="167" spans="2:11" x14ac:dyDescent="0.3">
      <c r="B167" s="30"/>
      <c r="C167" s="30"/>
      <c r="D167" s="30"/>
      <c r="E167" s="30"/>
      <c r="F167" s="30"/>
      <c r="G167" s="30"/>
      <c r="H167" s="30"/>
      <c r="I167" s="30"/>
      <c r="J167" s="30"/>
      <c r="K167" s="30"/>
    </row>
    <row r="168" spans="2:11" x14ac:dyDescent="0.3">
      <c r="B168" s="30"/>
      <c r="C168" s="30"/>
      <c r="D168" s="30"/>
      <c r="E168" s="30"/>
      <c r="F168" s="30"/>
      <c r="G168" s="30"/>
      <c r="H168" s="30"/>
      <c r="I168" s="30"/>
      <c r="J168" s="30"/>
      <c r="K168" s="30"/>
    </row>
    <row r="169" spans="2:11" x14ac:dyDescent="0.3">
      <c r="B169" s="30"/>
      <c r="C169" s="30"/>
      <c r="D169" s="30"/>
      <c r="E169" s="30"/>
      <c r="F169" s="30"/>
      <c r="G169" s="30"/>
      <c r="H169" s="30"/>
      <c r="I169" s="30"/>
      <c r="J169" s="30"/>
      <c r="K169" s="30"/>
    </row>
    <row r="170" spans="2:11" x14ac:dyDescent="0.3">
      <c r="B170" s="30"/>
      <c r="C170" s="30"/>
      <c r="D170" s="30"/>
      <c r="E170" s="30"/>
      <c r="F170" s="30"/>
      <c r="G170" s="30"/>
      <c r="H170" s="30"/>
      <c r="I170" s="30"/>
      <c r="J170" s="30"/>
      <c r="K170" s="30"/>
    </row>
    <row r="171" spans="2:11" x14ac:dyDescent="0.3">
      <c r="B171" s="30"/>
      <c r="C171" s="30"/>
      <c r="D171" s="30"/>
      <c r="E171" s="30"/>
      <c r="F171" s="30"/>
      <c r="G171" s="30"/>
      <c r="H171" s="30"/>
      <c r="I171" s="30"/>
      <c r="J171" s="30"/>
      <c r="K171" s="30"/>
    </row>
    <row r="172" spans="2:11" x14ac:dyDescent="0.3">
      <c r="B172" s="30"/>
      <c r="C172" s="30"/>
      <c r="D172" s="30"/>
      <c r="E172" s="30"/>
      <c r="F172" s="30"/>
      <c r="G172" s="30"/>
      <c r="H172" s="30"/>
      <c r="I172" s="30"/>
      <c r="J172" s="30"/>
      <c r="K172" s="30"/>
    </row>
    <row r="173" spans="2:11" x14ac:dyDescent="0.3">
      <c r="B173" s="30"/>
      <c r="C173" s="30"/>
      <c r="D173" s="30"/>
      <c r="E173" s="30"/>
      <c r="F173" s="30"/>
      <c r="G173" s="30"/>
      <c r="H173" s="30"/>
      <c r="I173" s="30"/>
      <c r="J173" s="30"/>
      <c r="K173" s="30"/>
    </row>
    <row r="174" spans="2:11" x14ac:dyDescent="0.3">
      <c r="B174" s="30"/>
      <c r="C174" s="30"/>
      <c r="D174" s="30"/>
      <c r="E174" s="30"/>
      <c r="F174" s="30"/>
      <c r="G174" s="30"/>
      <c r="H174" s="30"/>
      <c r="I174" s="30"/>
      <c r="J174" s="30"/>
      <c r="K174" s="30"/>
    </row>
    <row r="175" spans="2:11" x14ac:dyDescent="0.3">
      <c r="B175" s="30"/>
      <c r="C175" s="30"/>
      <c r="D175" s="30"/>
      <c r="E175" s="30"/>
      <c r="F175" s="30"/>
      <c r="G175" s="30"/>
      <c r="H175" s="30"/>
      <c r="I175" s="30"/>
      <c r="J175" s="30"/>
      <c r="K175" s="30"/>
    </row>
    <row r="176" spans="2:11" x14ac:dyDescent="0.3">
      <c r="B176" s="30"/>
      <c r="C176" s="30"/>
      <c r="D176" s="30"/>
      <c r="E176" s="30"/>
      <c r="F176" s="30"/>
      <c r="G176" s="30"/>
      <c r="H176" s="30"/>
      <c r="I176" s="30"/>
      <c r="J176" s="30"/>
      <c r="K176" s="30"/>
    </row>
    <row r="177" spans="2:11" x14ac:dyDescent="0.3">
      <c r="B177" s="30"/>
      <c r="C177" s="30"/>
      <c r="D177" s="30"/>
      <c r="E177" s="30"/>
      <c r="F177" s="30"/>
      <c r="G177" s="30"/>
      <c r="H177" s="30"/>
      <c r="I177" s="30"/>
      <c r="J177" s="30"/>
      <c r="K177" s="30"/>
    </row>
    <row r="178" spans="2:11" x14ac:dyDescent="0.3">
      <c r="B178" s="30"/>
      <c r="C178" s="30"/>
      <c r="D178" s="30"/>
      <c r="E178" s="30"/>
      <c r="F178" s="30"/>
      <c r="G178" s="30"/>
      <c r="H178" s="30"/>
      <c r="I178" s="30"/>
      <c r="J178" s="30"/>
      <c r="K178" s="30"/>
    </row>
    <row r="179" spans="2:11" x14ac:dyDescent="0.3">
      <c r="B179" s="30"/>
      <c r="C179" s="30"/>
      <c r="D179" s="30"/>
      <c r="E179" s="30"/>
      <c r="F179" s="30"/>
      <c r="G179" s="30"/>
      <c r="H179" s="30"/>
      <c r="I179" s="30"/>
      <c r="J179" s="30"/>
      <c r="K179" s="30"/>
    </row>
    <row r="180" spans="2:11" x14ac:dyDescent="0.3">
      <c r="B180" s="30"/>
      <c r="C180" s="30"/>
      <c r="D180" s="30"/>
      <c r="E180" s="30"/>
      <c r="F180" s="30"/>
      <c r="G180" s="30"/>
      <c r="H180" s="30"/>
      <c r="I180" s="30"/>
      <c r="J180" s="30"/>
      <c r="K180" s="30"/>
    </row>
    <row r="181" spans="2:11" x14ac:dyDescent="0.3">
      <c r="B181" s="30"/>
      <c r="C181" s="30"/>
      <c r="D181" s="30"/>
      <c r="E181" s="30"/>
      <c r="F181" s="30"/>
      <c r="G181" s="30"/>
      <c r="H181" s="30"/>
      <c r="I181" s="30"/>
      <c r="J181" s="30"/>
      <c r="K181" s="30"/>
    </row>
    <row r="182" spans="2:11" x14ac:dyDescent="0.3">
      <c r="B182" s="30"/>
      <c r="C182" s="30"/>
      <c r="D182" s="30"/>
      <c r="E182" s="30"/>
      <c r="F182" s="30"/>
      <c r="G182" s="30"/>
      <c r="H182" s="30"/>
      <c r="I182" s="30"/>
      <c r="J182" s="30"/>
      <c r="K182" s="30"/>
    </row>
    <row r="183" spans="2:11" x14ac:dyDescent="0.3">
      <c r="B183" s="30"/>
      <c r="C183" s="30"/>
      <c r="D183" s="30"/>
      <c r="E183" s="30"/>
      <c r="F183" s="30"/>
      <c r="G183" s="30"/>
      <c r="H183" s="30"/>
      <c r="I183" s="30"/>
      <c r="J183" s="30"/>
      <c r="K183" s="30"/>
    </row>
    <row r="184" spans="2:11" x14ac:dyDescent="0.3">
      <c r="B184" s="30"/>
      <c r="C184" s="30"/>
      <c r="D184" s="30"/>
      <c r="E184" s="30"/>
      <c r="F184" s="30"/>
      <c r="G184" s="30"/>
      <c r="H184" s="30"/>
      <c r="I184" s="30"/>
      <c r="J184" s="30"/>
      <c r="K184" s="30"/>
    </row>
    <row r="185" spans="2:11" x14ac:dyDescent="0.3">
      <c r="B185" s="30"/>
      <c r="C185" s="30"/>
      <c r="D185" s="30"/>
      <c r="E185" s="30"/>
      <c r="F185" s="30"/>
      <c r="G185" s="30"/>
      <c r="H185" s="30"/>
      <c r="I185" s="30"/>
      <c r="J185" s="30"/>
      <c r="K185" s="30"/>
    </row>
    <row r="186" spans="2:11" x14ac:dyDescent="0.3">
      <c r="B186" s="30"/>
      <c r="C186" s="30"/>
      <c r="D186" s="30"/>
      <c r="E186" s="30"/>
      <c r="F186" s="30"/>
      <c r="G186" s="30"/>
      <c r="H186" s="30"/>
      <c r="I186" s="30"/>
      <c r="J186" s="30"/>
      <c r="K186" s="30"/>
    </row>
    <row r="187" spans="2:11" x14ac:dyDescent="0.3">
      <c r="B187" s="30"/>
      <c r="C187" s="30"/>
      <c r="D187" s="30"/>
      <c r="E187" s="30"/>
      <c r="F187" s="30"/>
      <c r="G187" s="30"/>
      <c r="H187" s="30"/>
      <c r="I187" s="30"/>
      <c r="J187" s="30"/>
      <c r="K187" s="30"/>
    </row>
    <row r="188" spans="2:11" x14ac:dyDescent="0.3">
      <c r="B188" s="30"/>
      <c r="C188" s="30"/>
      <c r="D188" s="30"/>
      <c r="E188" s="30"/>
      <c r="F188" s="30"/>
      <c r="G188" s="30"/>
      <c r="H188" s="30"/>
      <c r="I188" s="30"/>
      <c r="J188" s="30"/>
      <c r="K188" s="30"/>
    </row>
    <row r="189" spans="2:11" x14ac:dyDescent="0.3">
      <c r="B189" s="30"/>
      <c r="C189" s="30"/>
      <c r="D189" s="30"/>
      <c r="E189" s="30"/>
      <c r="F189" s="30"/>
      <c r="G189" s="30"/>
      <c r="H189" s="30"/>
      <c r="I189" s="30"/>
      <c r="J189" s="30"/>
      <c r="K189" s="30"/>
    </row>
    <row r="190" spans="2:11" x14ac:dyDescent="0.3">
      <c r="B190" s="30"/>
      <c r="C190" s="30"/>
      <c r="D190" s="30"/>
      <c r="E190" s="30"/>
      <c r="F190" s="30"/>
      <c r="G190" s="30"/>
      <c r="H190" s="30"/>
      <c r="I190" s="30"/>
      <c r="J190" s="30"/>
      <c r="K190" s="30"/>
    </row>
    <row r="191" spans="2:11" x14ac:dyDescent="0.3">
      <c r="B191" s="30"/>
      <c r="C191" s="30"/>
      <c r="D191" s="30"/>
      <c r="E191" s="30"/>
      <c r="F191" s="30"/>
      <c r="G191" s="30"/>
      <c r="H191" s="30"/>
      <c r="I191" s="30"/>
      <c r="J191" s="30"/>
      <c r="K191" s="30"/>
    </row>
    <row r="192" spans="2:11" x14ac:dyDescent="0.3">
      <c r="B192" s="30"/>
      <c r="C192" s="30"/>
      <c r="D192" s="30"/>
      <c r="E192" s="30"/>
      <c r="F192" s="30"/>
      <c r="G192" s="30"/>
      <c r="H192" s="30"/>
      <c r="I192" s="30"/>
      <c r="J192" s="30"/>
      <c r="K192" s="30"/>
    </row>
    <row r="193" spans="2:11" x14ac:dyDescent="0.3">
      <c r="B193" s="30"/>
      <c r="C193" s="30"/>
      <c r="D193" s="30"/>
      <c r="E193" s="30"/>
      <c r="F193" s="30"/>
      <c r="G193" s="30"/>
      <c r="H193" s="30"/>
      <c r="I193" s="30"/>
      <c r="J193" s="30"/>
      <c r="K193" s="30"/>
    </row>
    <row r="194" spans="2:11" x14ac:dyDescent="0.3">
      <c r="B194" s="30"/>
      <c r="C194" s="30"/>
      <c r="D194" s="30"/>
      <c r="E194" s="30"/>
      <c r="F194" s="30"/>
      <c r="G194" s="30"/>
      <c r="H194" s="30"/>
      <c r="I194" s="30"/>
      <c r="J194" s="30"/>
      <c r="K194" s="30"/>
    </row>
    <row r="195" spans="2:11" x14ac:dyDescent="0.3">
      <c r="B195" s="30"/>
      <c r="C195" s="30"/>
      <c r="D195" s="30"/>
      <c r="E195" s="30"/>
      <c r="F195" s="30"/>
      <c r="G195" s="30"/>
      <c r="H195" s="30"/>
      <c r="I195" s="30"/>
      <c r="J195" s="30"/>
      <c r="K195" s="30"/>
    </row>
    <row r="196" spans="2:11" x14ac:dyDescent="0.3">
      <c r="B196" s="30"/>
      <c r="C196" s="30"/>
      <c r="D196" s="30"/>
      <c r="E196" s="30"/>
      <c r="F196" s="30"/>
      <c r="G196" s="30"/>
      <c r="H196" s="30"/>
      <c r="I196" s="30"/>
      <c r="J196" s="30"/>
      <c r="K196" s="30"/>
    </row>
    <row r="197" spans="2:11" x14ac:dyDescent="0.3">
      <c r="B197" s="30"/>
      <c r="C197" s="30"/>
      <c r="D197" s="30"/>
      <c r="E197" s="30"/>
      <c r="F197" s="30"/>
      <c r="G197" s="30"/>
      <c r="H197" s="30"/>
      <c r="I197" s="30"/>
      <c r="J197" s="30"/>
      <c r="K197" s="30"/>
    </row>
    <row r="198" spans="2:11" x14ac:dyDescent="0.3">
      <c r="B198" s="30"/>
      <c r="C198" s="30"/>
      <c r="D198" s="30"/>
      <c r="E198" s="30"/>
      <c r="F198" s="30"/>
      <c r="G198" s="30"/>
      <c r="H198" s="30"/>
      <c r="I198" s="30"/>
      <c r="J198" s="30"/>
      <c r="K198" s="30"/>
    </row>
    <row r="199" spans="2:11" x14ac:dyDescent="0.3">
      <c r="B199" s="30"/>
      <c r="C199" s="30"/>
      <c r="D199" s="30"/>
      <c r="E199" s="30"/>
      <c r="F199" s="30"/>
      <c r="G199" s="30"/>
      <c r="H199" s="30"/>
      <c r="I199" s="30"/>
      <c r="J199" s="30"/>
      <c r="K199" s="30"/>
    </row>
    <row r="200" spans="2:11" x14ac:dyDescent="0.3">
      <c r="B200" s="30"/>
      <c r="C200" s="30"/>
      <c r="D200" s="30"/>
      <c r="E200" s="30"/>
      <c r="F200" s="30"/>
      <c r="G200" s="30"/>
      <c r="H200" s="30"/>
      <c r="I200" s="30"/>
      <c r="J200" s="30"/>
      <c r="K200" s="30"/>
    </row>
    <row r="201" spans="2:11" x14ac:dyDescent="0.3">
      <c r="B201" s="30"/>
      <c r="C201" s="30"/>
      <c r="D201" s="30"/>
      <c r="E201" s="30"/>
      <c r="F201" s="30"/>
      <c r="G201" s="30"/>
      <c r="H201" s="30"/>
      <c r="I201" s="30"/>
      <c r="J201" s="30"/>
      <c r="K201" s="30"/>
    </row>
    <row r="202" spans="2:11" x14ac:dyDescent="0.3">
      <c r="B202" s="30"/>
      <c r="C202" s="30"/>
      <c r="D202" s="30"/>
      <c r="E202" s="30"/>
      <c r="F202" s="30"/>
      <c r="G202" s="30"/>
      <c r="H202" s="30"/>
      <c r="I202" s="30"/>
      <c r="J202" s="30"/>
      <c r="K202" s="30"/>
    </row>
    <row r="203" spans="2:11" x14ac:dyDescent="0.3">
      <c r="B203" s="30"/>
      <c r="C203" s="30"/>
      <c r="D203" s="30"/>
      <c r="E203" s="30"/>
      <c r="F203" s="30"/>
      <c r="G203" s="30"/>
      <c r="H203" s="30"/>
      <c r="I203" s="30"/>
      <c r="J203" s="30"/>
      <c r="K203" s="30"/>
    </row>
    <row r="204" spans="2:11" x14ac:dyDescent="0.3">
      <c r="B204" s="30"/>
      <c r="C204" s="30"/>
      <c r="D204" s="30"/>
      <c r="E204" s="30"/>
      <c r="F204" s="30"/>
      <c r="G204" s="30"/>
      <c r="H204" s="30"/>
      <c r="I204" s="30"/>
      <c r="J204" s="30"/>
      <c r="K204" s="30"/>
    </row>
    <row r="205" spans="2:11" x14ac:dyDescent="0.3">
      <c r="B205" s="30"/>
      <c r="C205" s="30"/>
      <c r="D205" s="30"/>
      <c r="E205" s="30"/>
      <c r="F205" s="30"/>
      <c r="G205" s="30"/>
      <c r="H205" s="30"/>
      <c r="I205" s="30"/>
      <c r="J205" s="30"/>
      <c r="K205" s="30"/>
    </row>
    <row r="206" spans="2:11" x14ac:dyDescent="0.3">
      <c r="B206" s="30"/>
      <c r="C206" s="30"/>
      <c r="D206" s="30"/>
      <c r="E206" s="30"/>
      <c r="F206" s="30"/>
      <c r="G206" s="30"/>
      <c r="H206" s="30"/>
      <c r="I206" s="30"/>
      <c r="J206" s="30"/>
      <c r="K206" s="30"/>
    </row>
    <row r="207" spans="2:11" x14ac:dyDescent="0.3">
      <c r="B207" s="30"/>
      <c r="C207" s="30"/>
      <c r="D207" s="30"/>
      <c r="E207" s="30"/>
      <c r="F207" s="30"/>
      <c r="G207" s="30"/>
      <c r="H207" s="30"/>
      <c r="I207" s="30"/>
      <c r="J207" s="30"/>
      <c r="K207" s="30"/>
    </row>
    <row r="208" spans="2:11" x14ac:dyDescent="0.3">
      <c r="B208" s="30"/>
      <c r="C208" s="30"/>
      <c r="D208" s="30"/>
      <c r="E208" s="30"/>
      <c r="F208" s="30"/>
      <c r="G208" s="30"/>
      <c r="H208" s="30"/>
      <c r="I208" s="30"/>
      <c r="J208" s="30"/>
      <c r="K208" s="30"/>
    </row>
    <row r="209" spans="2:11" x14ac:dyDescent="0.3">
      <c r="B209" s="30"/>
      <c r="C209" s="30"/>
      <c r="D209" s="30"/>
      <c r="E209" s="30"/>
      <c r="F209" s="30"/>
      <c r="G209" s="30"/>
      <c r="H209" s="30"/>
      <c r="I209" s="30"/>
      <c r="J209" s="30"/>
      <c r="K209" s="30"/>
    </row>
    <row r="210" spans="2:11" x14ac:dyDescent="0.3">
      <c r="B210" s="30"/>
      <c r="C210" s="30"/>
      <c r="D210" s="30"/>
      <c r="E210" s="30"/>
      <c r="F210" s="30"/>
      <c r="G210" s="30"/>
      <c r="H210" s="30"/>
      <c r="I210" s="30"/>
      <c r="J210" s="30"/>
      <c r="K210" s="30"/>
    </row>
    <row r="211" spans="2:11" x14ac:dyDescent="0.3">
      <c r="B211" s="30"/>
      <c r="C211" s="30"/>
      <c r="D211" s="30"/>
      <c r="E211" s="30"/>
      <c r="F211" s="30"/>
      <c r="G211" s="30"/>
      <c r="H211" s="30"/>
      <c r="I211" s="30"/>
      <c r="J211" s="30"/>
      <c r="K211" s="30"/>
    </row>
    <row r="212" spans="2:11" x14ac:dyDescent="0.3">
      <c r="B212" s="30"/>
      <c r="C212" s="30"/>
      <c r="D212" s="30"/>
      <c r="E212" s="30"/>
      <c r="F212" s="30"/>
      <c r="G212" s="30"/>
      <c r="H212" s="30"/>
      <c r="I212" s="30"/>
      <c r="J212" s="30"/>
      <c r="K212" s="30"/>
    </row>
    <row r="213" spans="2:11" x14ac:dyDescent="0.3">
      <c r="B213" s="30"/>
      <c r="C213" s="30"/>
      <c r="D213" s="30"/>
      <c r="E213" s="30"/>
      <c r="F213" s="30"/>
      <c r="G213" s="30"/>
      <c r="H213" s="30"/>
      <c r="I213" s="30"/>
      <c r="J213" s="30"/>
      <c r="K213" s="30"/>
    </row>
    <row r="214" spans="2:11" x14ac:dyDescent="0.3">
      <c r="B214" s="30"/>
      <c r="C214" s="30"/>
      <c r="D214" s="30"/>
      <c r="E214" s="30"/>
      <c r="F214" s="30"/>
      <c r="G214" s="30"/>
      <c r="H214" s="30"/>
      <c r="I214" s="30"/>
      <c r="J214" s="30"/>
      <c r="K214" s="30"/>
    </row>
    <row r="215" spans="2:11" x14ac:dyDescent="0.3">
      <c r="B215" s="30"/>
      <c r="C215" s="30"/>
      <c r="D215" s="30"/>
      <c r="E215" s="30"/>
      <c r="F215" s="30"/>
      <c r="G215" s="30"/>
      <c r="H215" s="30"/>
      <c r="I215" s="30"/>
      <c r="J215" s="30"/>
      <c r="K215" s="30"/>
    </row>
    <row r="216" spans="2:11" x14ac:dyDescent="0.3">
      <c r="B216" s="30"/>
      <c r="C216" s="30"/>
      <c r="D216" s="30"/>
      <c r="E216" s="30"/>
      <c r="F216" s="30"/>
      <c r="G216" s="30"/>
      <c r="H216" s="30"/>
      <c r="I216" s="30"/>
      <c r="J216" s="30"/>
      <c r="K216" s="30"/>
    </row>
    <row r="217" spans="2:11" x14ac:dyDescent="0.3">
      <c r="B217" s="30"/>
      <c r="C217" s="30"/>
      <c r="D217" s="30"/>
      <c r="E217" s="30"/>
      <c r="F217" s="30"/>
      <c r="G217" s="30"/>
      <c r="H217" s="30"/>
      <c r="I217" s="30"/>
      <c r="J217" s="30"/>
      <c r="K217" s="30"/>
    </row>
    <row r="218" spans="2:11" x14ac:dyDescent="0.3">
      <c r="B218" s="30"/>
      <c r="C218" s="30"/>
      <c r="D218" s="30"/>
      <c r="E218" s="30"/>
      <c r="F218" s="30"/>
      <c r="G218" s="30"/>
      <c r="H218" s="30"/>
      <c r="I218" s="30"/>
      <c r="J218" s="30"/>
      <c r="K218" s="30"/>
    </row>
    <row r="219" spans="2:11" x14ac:dyDescent="0.3">
      <c r="B219" s="30"/>
      <c r="C219" s="30"/>
      <c r="D219" s="30"/>
      <c r="E219" s="30"/>
      <c r="F219" s="30"/>
      <c r="G219" s="30"/>
      <c r="H219" s="30"/>
      <c r="I219" s="30"/>
      <c r="J219" s="30"/>
      <c r="K219" s="30"/>
    </row>
    <row r="220" spans="2:11" x14ac:dyDescent="0.3">
      <c r="B220" s="30"/>
      <c r="C220" s="30"/>
      <c r="D220" s="30"/>
      <c r="E220" s="30"/>
      <c r="F220" s="30"/>
      <c r="G220" s="30"/>
      <c r="H220" s="30"/>
      <c r="I220" s="30"/>
      <c r="J220" s="30"/>
      <c r="K220" s="30"/>
    </row>
    <row r="221" spans="2:11" x14ac:dyDescent="0.3">
      <c r="B221" s="30"/>
      <c r="C221" s="30"/>
      <c r="D221" s="30"/>
      <c r="E221" s="30"/>
      <c r="F221" s="30"/>
      <c r="G221" s="30"/>
      <c r="H221" s="30"/>
      <c r="I221" s="30"/>
      <c r="J221" s="30"/>
      <c r="K221" s="30"/>
    </row>
    <row r="222" spans="2:11" x14ac:dyDescent="0.3">
      <c r="B222" s="30"/>
      <c r="C222" s="30"/>
      <c r="D222" s="30"/>
      <c r="E222" s="30"/>
      <c r="F222" s="30"/>
      <c r="G222" s="30"/>
      <c r="H222" s="30"/>
      <c r="I222" s="30"/>
      <c r="J222" s="30"/>
      <c r="K222" s="30"/>
    </row>
    <row r="223" spans="2:11" x14ac:dyDescent="0.3">
      <c r="B223" s="30"/>
      <c r="C223" s="30"/>
      <c r="D223" s="30"/>
      <c r="E223" s="30"/>
      <c r="F223" s="30"/>
      <c r="G223" s="30"/>
      <c r="H223" s="30"/>
      <c r="I223" s="30"/>
      <c r="J223" s="30"/>
      <c r="K223" s="30"/>
    </row>
    <row r="224" spans="2:11" x14ac:dyDescent="0.3">
      <c r="B224" s="30"/>
      <c r="C224" s="30"/>
      <c r="D224" s="30"/>
      <c r="E224" s="30"/>
      <c r="F224" s="30"/>
      <c r="G224" s="30"/>
      <c r="H224" s="30"/>
      <c r="I224" s="30"/>
      <c r="J224" s="30"/>
      <c r="K224" s="30"/>
    </row>
    <row r="225" spans="2:11" x14ac:dyDescent="0.3">
      <c r="B225" s="30"/>
      <c r="C225" s="30"/>
      <c r="D225" s="30"/>
      <c r="E225" s="30"/>
      <c r="F225" s="30"/>
      <c r="G225" s="30"/>
      <c r="H225" s="30"/>
      <c r="I225" s="30"/>
      <c r="J225" s="30"/>
      <c r="K225" s="30"/>
    </row>
    <row r="226" spans="2:11" x14ac:dyDescent="0.3">
      <c r="B226" s="30"/>
      <c r="C226" s="30"/>
      <c r="D226" s="30"/>
      <c r="E226" s="30"/>
      <c r="F226" s="30"/>
      <c r="G226" s="30"/>
      <c r="H226" s="30"/>
      <c r="I226" s="30"/>
      <c r="J226" s="30"/>
      <c r="K226" s="30"/>
    </row>
    <row r="227" spans="2:11" x14ac:dyDescent="0.3">
      <c r="B227" s="30"/>
      <c r="C227" s="30"/>
      <c r="D227" s="30"/>
      <c r="E227" s="30"/>
      <c r="F227" s="30"/>
      <c r="G227" s="30"/>
      <c r="H227" s="30"/>
      <c r="I227" s="30"/>
      <c r="J227" s="30"/>
      <c r="K227" s="30"/>
    </row>
    <row r="228" spans="2:11" x14ac:dyDescent="0.3">
      <c r="B228" s="30"/>
      <c r="C228" s="30"/>
      <c r="D228" s="30"/>
      <c r="E228" s="30"/>
      <c r="F228" s="30"/>
      <c r="G228" s="30"/>
      <c r="H228" s="30"/>
      <c r="I228" s="30"/>
      <c r="J228" s="30"/>
      <c r="K228" s="30"/>
    </row>
    <row r="229" spans="2:11" x14ac:dyDescent="0.3">
      <c r="B229" s="30"/>
      <c r="C229" s="30"/>
      <c r="D229" s="30"/>
      <c r="E229" s="30"/>
      <c r="F229" s="30"/>
      <c r="G229" s="30"/>
      <c r="H229" s="30"/>
      <c r="I229" s="30"/>
      <c r="J229" s="30"/>
      <c r="K229" s="30"/>
    </row>
    <row r="230" spans="2:11" x14ac:dyDescent="0.3">
      <c r="B230" s="30"/>
      <c r="C230" s="30"/>
      <c r="D230" s="30"/>
      <c r="E230" s="30"/>
      <c r="F230" s="30"/>
      <c r="G230" s="30"/>
      <c r="H230" s="30"/>
      <c r="I230" s="30"/>
      <c r="J230" s="30"/>
      <c r="K230" s="30"/>
    </row>
    <row r="231" spans="2:11" x14ac:dyDescent="0.3">
      <c r="B231" s="30"/>
      <c r="C231" s="30"/>
      <c r="D231" s="30"/>
      <c r="E231" s="30"/>
      <c r="F231" s="30"/>
      <c r="G231" s="30"/>
      <c r="H231" s="30"/>
      <c r="I231" s="30"/>
      <c r="J231" s="30"/>
      <c r="K231" s="30"/>
    </row>
    <row r="232" spans="2:11" x14ac:dyDescent="0.3">
      <c r="B232" s="30"/>
      <c r="C232" s="30"/>
      <c r="D232" s="30"/>
      <c r="E232" s="30"/>
      <c r="F232" s="30"/>
      <c r="G232" s="30"/>
      <c r="H232" s="30"/>
      <c r="I232" s="30"/>
      <c r="J232" s="30"/>
      <c r="K232" s="30"/>
    </row>
    <row r="233" spans="2:11" x14ac:dyDescent="0.3">
      <c r="B233" s="30"/>
      <c r="C233" s="30"/>
      <c r="D233" s="30"/>
      <c r="E233" s="30"/>
      <c r="F233" s="30"/>
      <c r="G233" s="30"/>
      <c r="H233" s="30"/>
      <c r="I233" s="30"/>
      <c r="J233" s="30"/>
      <c r="K233" s="30"/>
    </row>
    <row r="234" spans="2:11" x14ac:dyDescent="0.3">
      <c r="B234" s="30"/>
      <c r="C234" s="30"/>
      <c r="D234" s="30"/>
      <c r="E234" s="30"/>
      <c r="F234" s="30"/>
      <c r="G234" s="30"/>
      <c r="H234" s="30"/>
      <c r="I234" s="30"/>
      <c r="J234" s="30"/>
      <c r="K234" s="30"/>
    </row>
    <row r="235" spans="2:11" x14ac:dyDescent="0.3">
      <c r="B235" s="30"/>
      <c r="C235" s="30"/>
      <c r="D235" s="30"/>
      <c r="E235" s="30"/>
      <c r="F235" s="30"/>
      <c r="G235" s="30"/>
      <c r="H235" s="30"/>
      <c r="I235" s="30"/>
      <c r="J235" s="30"/>
      <c r="K235" s="30"/>
    </row>
    <row r="236" spans="2:11" x14ac:dyDescent="0.3">
      <c r="B236" s="30"/>
      <c r="C236" s="30"/>
      <c r="D236" s="30"/>
      <c r="E236" s="30"/>
      <c r="F236" s="30"/>
      <c r="G236" s="30"/>
      <c r="H236" s="30"/>
      <c r="I236" s="30"/>
      <c r="J236" s="30"/>
      <c r="K236" s="30"/>
    </row>
    <row r="237" spans="2:11" x14ac:dyDescent="0.3">
      <c r="B237" s="30"/>
      <c r="C237" s="30"/>
      <c r="D237" s="30"/>
      <c r="E237" s="30"/>
      <c r="F237" s="30"/>
      <c r="G237" s="30"/>
      <c r="H237" s="30"/>
      <c r="I237" s="30"/>
      <c r="J237" s="30"/>
      <c r="K237" s="30"/>
    </row>
    <row r="238" spans="2:11" x14ac:dyDescent="0.3">
      <c r="B238" s="30"/>
      <c r="C238" s="30"/>
      <c r="D238" s="30"/>
      <c r="E238" s="30"/>
      <c r="F238" s="30"/>
      <c r="G238" s="30"/>
      <c r="H238" s="30"/>
      <c r="I238" s="30"/>
      <c r="J238" s="30"/>
      <c r="K238" s="30"/>
    </row>
    <row r="239" spans="2:11" x14ac:dyDescent="0.3">
      <c r="B239" s="30"/>
      <c r="C239" s="30"/>
      <c r="D239" s="30"/>
      <c r="E239" s="30"/>
      <c r="F239" s="30"/>
      <c r="G239" s="30"/>
      <c r="H239" s="30"/>
      <c r="I239" s="30"/>
      <c r="J239" s="30"/>
      <c r="K239" s="30"/>
    </row>
    <row r="240" spans="2:11" x14ac:dyDescent="0.3">
      <c r="B240" s="30"/>
      <c r="C240" s="30"/>
      <c r="D240" s="30"/>
      <c r="E240" s="30"/>
      <c r="F240" s="30"/>
      <c r="G240" s="30"/>
      <c r="H240" s="30"/>
      <c r="I240" s="30"/>
      <c r="J240" s="30"/>
      <c r="K240" s="30"/>
    </row>
    <row r="241" spans="2:11" x14ac:dyDescent="0.3">
      <c r="B241" s="30"/>
      <c r="C241" s="30"/>
      <c r="D241" s="30"/>
      <c r="E241" s="30"/>
      <c r="F241" s="30"/>
      <c r="G241" s="30"/>
      <c r="H241" s="30"/>
      <c r="I241" s="30"/>
      <c r="J241" s="30"/>
      <c r="K241" s="30"/>
    </row>
    <row r="242" spans="2:11" x14ac:dyDescent="0.3">
      <c r="B242" s="30"/>
      <c r="C242" s="30"/>
      <c r="D242" s="30"/>
      <c r="E242" s="30"/>
      <c r="F242" s="30"/>
      <c r="G242" s="30"/>
      <c r="H242" s="30"/>
      <c r="I242" s="30"/>
      <c r="J242" s="30"/>
      <c r="K242" s="30"/>
    </row>
    <row r="243" spans="2:11" x14ac:dyDescent="0.3">
      <c r="B243" s="30"/>
      <c r="C243" s="30"/>
      <c r="D243" s="30"/>
      <c r="E243" s="30"/>
      <c r="F243" s="30"/>
      <c r="G243" s="30"/>
      <c r="H243" s="30"/>
      <c r="I243" s="30"/>
      <c r="J243" s="30"/>
      <c r="K243" s="30"/>
    </row>
    <row r="244" spans="2:11" x14ac:dyDescent="0.3">
      <c r="B244" s="30"/>
      <c r="C244" s="30"/>
      <c r="D244" s="30"/>
      <c r="E244" s="30"/>
      <c r="F244" s="30"/>
      <c r="G244" s="30"/>
      <c r="H244" s="30"/>
      <c r="I244" s="30"/>
      <c r="J244" s="30"/>
      <c r="K244" s="30"/>
    </row>
    <row r="245" spans="2:11" x14ac:dyDescent="0.3">
      <c r="B245" s="30"/>
      <c r="C245" s="30"/>
      <c r="D245" s="30"/>
      <c r="E245" s="30"/>
      <c r="F245" s="30"/>
      <c r="G245" s="30"/>
      <c r="H245" s="30"/>
      <c r="I245" s="30"/>
      <c r="J245" s="30"/>
      <c r="K245" s="30"/>
    </row>
    <row r="246" spans="2:11" x14ac:dyDescent="0.3">
      <c r="B246" s="30"/>
      <c r="C246" s="30"/>
      <c r="D246" s="30"/>
      <c r="E246" s="30"/>
      <c r="F246" s="30"/>
      <c r="G246" s="30"/>
      <c r="H246" s="30"/>
      <c r="I246" s="30"/>
      <c r="J246" s="30"/>
      <c r="K246" s="30"/>
    </row>
    <row r="247" spans="2:11" x14ac:dyDescent="0.3">
      <c r="B247" s="30"/>
      <c r="C247" s="30"/>
      <c r="D247" s="30"/>
      <c r="E247" s="30"/>
      <c r="F247" s="30"/>
      <c r="G247" s="30"/>
      <c r="H247" s="30"/>
      <c r="I247" s="30"/>
      <c r="J247" s="30"/>
      <c r="K247" s="30"/>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2">
    <tabColor indexed="57"/>
  </sheetPr>
  <dimension ref="A2:K20"/>
  <sheetViews>
    <sheetView workbookViewId="0">
      <selection activeCell="A18" sqref="A18"/>
    </sheetView>
  </sheetViews>
  <sheetFormatPr defaultColWidth="9.109375" defaultRowHeight="13.8" x14ac:dyDescent="0.3"/>
  <cols>
    <col min="1" max="1" width="52.6640625" style="26" bestFit="1" customWidth="1"/>
    <col min="2" max="10" width="10.109375" style="26" bestFit="1" customWidth="1"/>
    <col min="11" max="11" width="9.109375" style="26" customWidth="1"/>
    <col min="12" max="16384" width="9.109375" style="26"/>
  </cols>
  <sheetData>
    <row r="2" spans="1:11" ht="18" x14ac:dyDescent="0.3">
      <c r="A2" s="5" t="str">
        <f>DEBT_AS_OF_CURR_YEAR</f>
        <v>Державний та гарантований державою борг України за поточний рік</v>
      </c>
      <c r="B2" s="5"/>
      <c r="C2" s="5"/>
      <c r="D2" s="5"/>
      <c r="E2" s="5"/>
      <c r="F2" s="5"/>
      <c r="G2" s="5"/>
      <c r="H2" s="5"/>
      <c r="I2" s="5"/>
      <c r="J2" s="5"/>
    </row>
    <row r="4" spans="1:11" x14ac:dyDescent="0.3">
      <c r="J4" s="161" t="str">
        <f>VALUAH</f>
        <v>млрд. грн</v>
      </c>
    </row>
    <row r="5" spans="1:11" x14ac:dyDescent="0.3">
      <c r="A5" s="49"/>
      <c r="B5" s="50">
        <f>MT_ALL!B5</f>
        <v>46022</v>
      </c>
      <c r="C5" s="50">
        <f>MT_ALL!C5</f>
        <v>46053</v>
      </c>
      <c r="D5" s="50">
        <f>MT_ALL!D5</f>
        <v>46081</v>
      </c>
      <c r="E5" s="50">
        <f>MT_ALL!E5</f>
        <v>46112</v>
      </c>
      <c r="F5" s="50">
        <f>MT_ALL!F5</f>
        <v>46142</v>
      </c>
      <c r="G5" s="50">
        <f>MT_ALL!G5</f>
        <v>46173</v>
      </c>
      <c r="H5" s="50">
        <f>MT_ALL!H5</f>
        <v>46203</v>
      </c>
      <c r="I5" s="50">
        <f>MT_ALL!I5</f>
        <v>46234</v>
      </c>
      <c r="J5" s="50">
        <f>MT_ALL!J5</f>
        <v>46265</v>
      </c>
      <c r="K5" s="51"/>
    </row>
    <row r="6" spans="1:11" x14ac:dyDescent="0.3">
      <c r="A6" s="55" t="str">
        <f>MT_ALL!A6</f>
        <v>Загальна сума державного та гарантованого державою боргу</v>
      </c>
      <c r="B6" s="56">
        <f>SUM(B7:B8)</f>
        <v>9042.6770279453904</v>
      </c>
      <c r="C6" s="56">
        <f t="shared" ref="C6:J6" si="0">SUM(C7:C8)</f>
        <v>9212.5998245738901</v>
      </c>
      <c r="D6" s="56">
        <f t="shared" si="0"/>
        <v>9211.1933697349305</v>
      </c>
      <c r="E6" s="56">
        <f t="shared" si="0"/>
        <v>9233.02786687765</v>
      </c>
      <c r="F6" s="56">
        <f t="shared" si="0"/>
        <v>9345.510469896959</v>
      </c>
      <c r="G6" s="56">
        <f t="shared" si="0"/>
        <v>9316.8730357135209</v>
      </c>
      <c r="H6" s="56">
        <f t="shared" si="0"/>
        <v>9490.8752701868307</v>
      </c>
      <c r="I6" s="56">
        <f t="shared" si="0"/>
        <v>9572.4497813650305</v>
      </c>
      <c r="J6" s="56">
        <f t="shared" si="0"/>
        <v>9602.8930637009689</v>
      </c>
    </row>
    <row r="7" spans="1:11" x14ac:dyDescent="0.3">
      <c r="A7" s="52" t="str">
        <f>MT_ALL!A7</f>
        <v>Внутрішній борг</v>
      </c>
      <c r="B7" s="53">
        <f>MT_ALL!B7/DMLMLR</f>
        <v>2031.50200194128</v>
      </c>
      <c r="C7" s="53">
        <f>MT_ALL!C7/DMLMLR</f>
        <v>2055.3735050478699</v>
      </c>
      <c r="D7" s="53">
        <f>MT_ALL!D7/DMLMLR</f>
        <v>2072.3017816432898</v>
      </c>
      <c r="E7" s="53">
        <f>MT_ALL!E7/DMLMLR</f>
        <v>2077.05970968987</v>
      </c>
      <c r="F7" s="53">
        <f>MT_ALL!F7/DMLMLR</f>
        <v>2068.3418798098</v>
      </c>
      <c r="G7" s="53">
        <f>MT_ALL!G7/DMLMLR</f>
        <v>2053.6187634325402</v>
      </c>
      <c r="H7" s="53">
        <f>MT_ALL!H7/DMLMLR</f>
        <v>2044.2039153139599</v>
      </c>
      <c r="I7" s="53">
        <f>MT_ALL!I7/DMLMLR</f>
        <v>2074.68094890983</v>
      </c>
      <c r="J7" s="53">
        <f>MT_ALL!J7/DMLMLR</f>
        <v>2065.1785177859101</v>
      </c>
    </row>
    <row r="8" spans="1:11" x14ac:dyDescent="0.3">
      <c r="A8" s="52" t="str">
        <f>MT_ALL!A8</f>
        <v>Зовнішній борг</v>
      </c>
      <c r="B8" s="53">
        <f>MT_ALL!B8/DMLMLR</f>
        <v>7011.1750260041099</v>
      </c>
      <c r="C8" s="53">
        <f>MT_ALL!C8/DMLMLR</f>
        <v>7157.2263195260202</v>
      </c>
      <c r="D8" s="53">
        <f>MT_ALL!D8/DMLMLR</f>
        <v>7138.8915880916402</v>
      </c>
      <c r="E8" s="53">
        <f>MT_ALL!E8/DMLMLR</f>
        <v>7155.96815718778</v>
      </c>
      <c r="F8" s="53">
        <f>MT_ALL!F8/DMLMLR</f>
        <v>7277.1685900871598</v>
      </c>
      <c r="G8" s="53">
        <f>MT_ALL!G8/DMLMLR</f>
        <v>7263.2542722809803</v>
      </c>
      <c r="H8" s="53">
        <f>MT_ALL!H8/DMLMLR</f>
        <v>7446.6713548728703</v>
      </c>
      <c r="I8" s="53">
        <f>MT_ALL!I8/DMLMLR</f>
        <v>7497.7688324552</v>
      </c>
      <c r="J8" s="53">
        <f>MT_ALL!J8/DMLMLR</f>
        <v>7537.7145459150597</v>
      </c>
    </row>
    <row r="10" spans="1:11" x14ac:dyDescent="0.3">
      <c r="J10" s="161" t="str">
        <f>VALUSD</f>
        <v>млрд. дол. США</v>
      </c>
    </row>
    <row r="11" spans="1:11" x14ac:dyDescent="0.3">
      <c r="A11" s="49"/>
      <c r="B11" s="50">
        <f>MT_ALL!B11</f>
        <v>46022</v>
      </c>
      <c r="C11" s="50">
        <f>MT_ALL!C11</f>
        <v>46053</v>
      </c>
      <c r="D11" s="50">
        <f>MT_ALL!D11</f>
        <v>46081</v>
      </c>
      <c r="E11" s="50">
        <f>MT_ALL!E11</f>
        <v>46112</v>
      </c>
      <c r="F11" s="50">
        <f>MT_ALL!F11</f>
        <v>46142</v>
      </c>
      <c r="G11" s="50">
        <f>MT_ALL!G11</f>
        <v>46173</v>
      </c>
      <c r="H11" s="50">
        <f>MT_ALL!H11</f>
        <v>46203</v>
      </c>
      <c r="I11" s="50">
        <f>MT_ALL!I11</f>
        <v>46234</v>
      </c>
      <c r="J11" s="50">
        <f>MT_ALL!J11</f>
        <v>46265</v>
      </c>
    </row>
    <row r="12" spans="1:11" x14ac:dyDescent="0.3">
      <c r="A12" s="55" t="str">
        <f>MT_ALL!A12</f>
        <v>Загальна сума державного та гарантованого державою боргу</v>
      </c>
      <c r="B12" s="56">
        <f t="shared" ref="B12:J12" si="1">SUM(B13:B14)</f>
        <v>213.33206790509001</v>
      </c>
      <c r="C12" s="56">
        <f t="shared" si="1"/>
        <v>215.00502527705999</v>
      </c>
      <c r="D12" s="56">
        <f t="shared" si="1"/>
        <v>213.18209710067001</v>
      </c>
      <c r="E12" s="56">
        <f t="shared" si="1"/>
        <v>210.82138271957999</v>
      </c>
      <c r="F12" s="56">
        <f t="shared" si="1"/>
        <v>212.00286896928003</v>
      </c>
      <c r="G12" s="56">
        <f t="shared" si="1"/>
        <v>210.47802761307</v>
      </c>
      <c r="H12" s="56">
        <f t="shared" si="1"/>
        <v>211.62409906782</v>
      </c>
      <c r="I12" s="56">
        <f t="shared" si="1"/>
        <v>214.18901496844001</v>
      </c>
      <c r="J12" s="56">
        <f t="shared" si="1"/>
        <v>215.55073598984998</v>
      </c>
    </row>
    <row r="13" spans="1:11" x14ac:dyDescent="0.3">
      <c r="A13" s="52" t="str">
        <f>MT_ALL!A13</f>
        <v>Внутрішній борг</v>
      </c>
      <c r="B13" s="53">
        <f>MT_ALL!B13/DMLMLR</f>
        <v>47.926573257919998</v>
      </c>
      <c r="C13" s="53">
        <f>MT_ALL!C13/DMLMLR</f>
        <v>47.968612641649997</v>
      </c>
      <c r="D13" s="53">
        <f>MT_ALL!D13/DMLMLR</f>
        <v>47.960955969920001</v>
      </c>
      <c r="E13" s="53">
        <f>MT_ALL!E13/DMLMLR</f>
        <v>47.426327127409998</v>
      </c>
      <c r="F13" s="53">
        <f>MT_ALL!F13/DMLMLR</f>
        <v>46.920327567130002</v>
      </c>
      <c r="G13" s="53">
        <f>MT_ALL!G13/DMLMLR</f>
        <v>46.393422464579999</v>
      </c>
      <c r="H13" s="53">
        <f>MT_ALL!H13/DMLMLR</f>
        <v>45.580918468759997</v>
      </c>
      <c r="I13" s="53">
        <f>MT_ALL!I13/DMLMLR</f>
        <v>46.422167675940003</v>
      </c>
      <c r="J13" s="53">
        <f>MT_ALL!J13/DMLMLR</f>
        <v>46.355899884369997</v>
      </c>
    </row>
    <row r="14" spans="1:11" x14ac:dyDescent="0.3">
      <c r="A14" s="52" t="str">
        <f>MT_ALL!A14</f>
        <v>Зовнішній борг</v>
      </c>
      <c r="B14" s="53">
        <f>MT_ALL!B14/DMLMLR</f>
        <v>165.40549464717</v>
      </c>
      <c r="C14" s="53">
        <f>MT_ALL!C14/DMLMLR</f>
        <v>167.03641263540999</v>
      </c>
      <c r="D14" s="53">
        <f>MT_ALL!D14/DMLMLR</f>
        <v>165.22114113075</v>
      </c>
      <c r="E14" s="53">
        <f>MT_ALL!E14/DMLMLR</f>
        <v>163.39505559217</v>
      </c>
      <c r="F14" s="53">
        <f>MT_ALL!F14/DMLMLR</f>
        <v>165.08254140215001</v>
      </c>
      <c r="G14" s="53">
        <f>MT_ALL!G14/DMLMLR</f>
        <v>164.08460514849</v>
      </c>
      <c r="H14" s="53">
        <f>MT_ALL!H14/DMLMLR</f>
        <v>166.04318059906001</v>
      </c>
      <c r="I14" s="53">
        <f>MT_ALL!I14/DMLMLR</f>
        <v>167.76684729249999</v>
      </c>
      <c r="J14" s="53">
        <f>MT_ALL!J14/DMLMLR</f>
        <v>169.19483610547999</v>
      </c>
    </row>
    <row r="16" spans="1:11" x14ac:dyDescent="0.3">
      <c r="J16" s="41" t="s">
        <v>130</v>
      </c>
    </row>
    <row r="17" spans="1:10" x14ac:dyDescent="0.3">
      <c r="A17" s="49"/>
      <c r="B17" s="50">
        <f>MT_ALL!B17</f>
        <v>46022</v>
      </c>
      <c r="C17" s="50">
        <f>MT_ALL!C17</f>
        <v>46053</v>
      </c>
      <c r="D17" s="50">
        <f>MT_ALL!D17</f>
        <v>46081</v>
      </c>
      <c r="E17" s="50">
        <f>MT_ALL!E17</f>
        <v>46112</v>
      </c>
      <c r="F17" s="50">
        <f>MT_ALL!F17</f>
        <v>46142</v>
      </c>
      <c r="G17" s="50">
        <f>MT_ALL!G17</f>
        <v>46173</v>
      </c>
      <c r="H17" s="50">
        <f>MT_ALL!H17</f>
        <v>46203</v>
      </c>
      <c r="I17" s="50">
        <f>MT_ALL!I17</f>
        <v>46234</v>
      </c>
      <c r="J17" s="50">
        <f>MT_ALL!J17</f>
        <v>46265</v>
      </c>
    </row>
    <row r="18" spans="1:10" x14ac:dyDescent="0.3">
      <c r="A18" s="55" t="str">
        <f>MT_ALL!A18</f>
        <v>Загальна сума державного та гарантованого державою боргу</v>
      </c>
      <c r="B18" s="56">
        <f t="shared" ref="B18:J18" si="2">SUM(B19:B20)</f>
        <v>1</v>
      </c>
      <c r="C18" s="56">
        <f t="shared" si="2"/>
        <v>1</v>
      </c>
      <c r="D18" s="56">
        <f t="shared" si="2"/>
        <v>1</v>
      </c>
      <c r="E18" s="56">
        <f t="shared" si="2"/>
        <v>1</v>
      </c>
      <c r="F18" s="56">
        <f t="shared" si="2"/>
        <v>1</v>
      </c>
      <c r="G18" s="56">
        <f t="shared" si="2"/>
        <v>1</v>
      </c>
      <c r="H18" s="56">
        <f t="shared" si="2"/>
        <v>1</v>
      </c>
      <c r="I18" s="56">
        <f t="shared" si="2"/>
        <v>1</v>
      </c>
      <c r="J18" s="56">
        <f t="shared" si="2"/>
        <v>1</v>
      </c>
    </row>
    <row r="19" spans="1:10" x14ac:dyDescent="0.3">
      <c r="A19" s="52" t="str">
        <f>MT_ALL!A19</f>
        <v>Внутрішній борг</v>
      </c>
      <c r="B19" s="54">
        <f>MT_ALL!B19</f>
        <v>0.224657</v>
      </c>
      <c r="C19" s="54">
        <f>MT_ALL!C19</f>
        <v>0.223105</v>
      </c>
      <c r="D19" s="54">
        <f>MT_ALL!D19</f>
        <v>0.22497600000000001</v>
      </c>
      <c r="E19" s="54">
        <f>MT_ALL!E19</f>
        <v>0.22495999999999999</v>
      </c>
      <c r="F19" s="54">
        <f>MT_ALL!F19</f>
        <v>0.22131899999999999</v>
      </c>
      <c r="G19" s="54">
        <f>MT_ALL!G19</f>
        <v>0.220419</v>
      </c>
      <c r="H19" s="54">
        <f>MT_ALL!H19</f>
        <v>0.21538599999999999</v>
      </c>
      <c r="I19" s="54">
        <f>MT_ALL!I19</f>
        <v>0.21673500000000001</v>
      </c>
      <c r="J19" s="54">
        <f>MT_ALL!J19</f>
        <v>0.215058</v>
      </c>
    </row>
    <row r="20" spans="1:10" x14ac:dyDescent="0.3">
      <c r="A20" s="52" t="str">
        <f>MT_ALL!A20</f>
        <v>Зовнішній борг</v>
      </c>
      <c r="B20" s="54">
        <f>MT_ALL!B20</f>
        <v>0.775343</v>
      </c>
      <c r="C20" s="54">
        <f>MT_ALL!C20</f>
        <v>0.776895</v>
      </c>
      <c r="D20" s="54">
        <f>MT_ALL!D20</f>
        <v>0.77502400000000005</v>
      </c>
      <c r="E20" s="54">
        <f>MT_ALL!E20</f>
        <v>0.77503999999999995</v>
      </c>
      <c r="F20" s="54">
        <f>MT_ALL!F20</f>
        <v>0.77868099999999996</v>
      </c>
      <c r="G20" s="54">
        <f>MT_ALL!G20</f>
        <v>0.77958099999999997</v>
      </c>
      <c r="H20" s="54">
        <f>MT_ALL!H20</f>
        <v>0.78461400000000003</v>
      </c>
      <c r="I20" s="54">
        <f>MT_ALL!I20</f>
        <v>0.78326499999999999</v>
      </c>
      <c r="J20" s="54">
        <f>MT_ALL!J20</f>
        <v>0.78494200000000003</v>
      </c>
    </row>
  </sheetData>
  <mergeCells count="1">
    <mergeCell ref="A2:J2"/>
  </mergeCells>
  <phoneticPr fontId="4"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6">
    <tabColor indexed="57"/>
    <outlinePr applyStyles="1" summaryBelow="0"/>
    <pageSetUpPr fitToPage="1"/>
  </sheetPr>
  <dimension ref="A2:Q247"/>
  <sheetViews>
    <sheetView topLeftCell="A25" workbookViewId="0">
      <selection activeCell="A13" sqref="A13"/>
    </sheetView>
  </sheetViews>
  <sheetFormatPr defaultColWidth="9.109375" defaultRowHeight="13.8" outlineLevelRow="1" x14ac:dyDescent="0.3"/>
  <cols>
    <col min="1" max="1" width="63.33203125" style="26" bestFit="1" customWidth="1"/>
    <col min="2" max="2" width="14.6640625" style="26" customWidth="1"/>
    <col min="3" max="9" width="14.44140625" style="26" bestFit="1" customWidth="1"/>
    <col min="10" max="10" width="13" style="26" customWidth="1"/>
    <col min="11" max="11" width="9.109375" style="26" customWidth="1"/>
    <col min="12" max="16384" width="9.109375" style="26"/>
  </cols>
  <sheetData>
    <row r="2" spans="1:17" ht="18" x14ac:dyDescent="0.3">
      <c r="A2" s="5" t="str">
        <f>DEBT_AS_OF_CURR_YEAR</f>
        <v>Державний та гарантований державою борг України за поточний рік</v>
      </c>
      <c r="B2" s="5"/>
      <c r="C2" s="5"/>
      <c r="D2" s="5"/>
      <c r="E2" s="5"/>
      <c r="F2" s="5"/>
      <c r="G2" s="5"/>
      <c r="H2" s="5"/>
      <c r="I2" s="5"/>
      <c r="J2" s="5"/>
      <c r="K2" s="30"/>
      <c r="L2" s="30"/>
      <c r="M2" s="30"/>
      <c r="N2" s="30"/>
      <c r="O2" s="30"/>
      <c r="P2" s="30"/>
      <c r="Q2" s="30"/>
    </row>
    <row r="3" spans="1:17" x14ac:dyDescent="0.3">
      <c r="A3" s="28"/>
    </row>
    <row r="4" spans="1:17" s="31" customFormat="1" x14ac:dyDescent="0.3">
      <c r="A4" s="153" t="str">
        <f>$A$2 &amp; " (" &amp;J4 &amp; ")"</f>
        <v>Державний та гарантований державою борг України за поточний рік (млрд. грн)</v>
      </c>
      <c r="J4" s="31" t="str">
        <f>VALUAH</f>
        <v>млрд. грн</v>
      </c>
    </row>
    <row r="5" spans="1:17" s="18" customFormat="1" x14ac:dyDescent="0.3">
      <c r="A5" s="58"/>
      <c r="B5" s="17">
        <v>46022</v>
      </c>
      <c r="C5" s="17">
        <v>46053</v>
      </c>
      <c r="D5" s="17">
        <v>46081</v>
      </c>
      <c r="E5" s="17">
        <v>46112</v>
      </c>
      <c r="F5" s="17">
        <v>46142</v>
      </c>
      <c r="G5" s="17">
        <v>46173</v>
      </c>
      <c r="H5" s="17">
        <v>46203</v>
      </c>
      <c r="I5" s="17">
        <v>46234</v>
      </c>
      <c r="J5" s="37">
        <v>46265</v>
      </c>
    </row>
    <row r="6" spans="1:17" s="19" customFormat="1" x14ac:dyDescent="0.25">
      <c r="A6" s="163" t="str">
        <f>DEBT_TOTAL</f>
        <v>Загальна сума державного та гарантованого державою боргу</v>
      </c>
      <c r="B6" s="48">
        <f>SUM(B7:B8)</f>
        <v>9042.6770279453904</v>
      </c>
      <c r="C6" s="48">
        <f t="shared" ref="C6:J6" si="0">SUM(C7:C8)</f>
        <v>9212.5998245738901</v>
      </c>
      <c r="D6" s="48">
        <f t="shared" si="0"/>
        <v>9211.1933697349305</v>
      </c>
      <c r="E6" s="48">
        <f t="shared" si="0"/>
        <v>9233.02786687765</v>
      </c>
      <c r="F6" s="48">
        <f t="shared" si="0"/>
        <v>9345.510469896959</v>
      </c>
      <c r="G6" s="48">
        <f t="shared" si="0"/>
        <v>9316.8730357135209</v>
      </c>
      <c r="H6" s="48">
        <f t="shared" si="0"/>
        <v>9490.8752701868307</v>
      </c>
      <c r="I6" s="48">
        <f t="shared" si="0"/>
        <v>9572.4497813650287</v>
      </c>
      <c r="J6" s="48">
        <f t="shared" si="0"/>
        <v>9602.8930637009707</v>
      </c>
    </row>
    <row r="7" spans="1:17" s="42" customFormat="1" outlineLevel="1" x14ac:dyDescent="0.25">
      <c r="A7" s="174" t="s">
        <v>1</v>
      </c>
      <c r="B7" s="180">
        <v>8765.9940256002701</v>
      </c>
      <c r="C7" s="180">
        <v>8933.75862935849</v>
      </c>
      <c r="D7" s="180">
        <v>8940.6425883804604</v>
      </c>
      <c r="E7" s="180">
        <v>8973.06636181258</v>
      </c>
      <c r="F7" s="180">
        <v>9086.1497696725692</v>
      </c>
      <c r="G7" s="180">
        <v>9055.8212127435108</v>
      </c>
      <c r="H7" s="180">
        <v>9228.7924833453999</v>
      </c>
      <c r="I7" s="180">
        <v>9311.4910199911392</v>
      </c>
      <c r="J7" s="181">
        <v>9345.0806751427208</v>
      </c>
    </row>
    <row r="8" spans="1:17" s="42" customFormat="1" outlineLevel="1" x14ac:dyDescent="0.25">
      <c r="A8" s="174" t="s">
        <v>2</v>
      </c>
      <c r="B8" s="180">
        <v>276.68300234511997</v>
      </c>
      <c r="C8" s="180">
        <v>278.84119521539998</v>
      </c>
      <c r="D8" s="180">
        <v>270.55078135447002</v>
      </c>
      <c r="E8" s="180">
        <v>259.96150506507001</v>
      </c>
      <c r="F8" s="180">
        <v>259.36070022438997</v>
      </c>
      <c r="G8" s="180">
        <v>261.05182297000999</v>
      </c>
      <c r="H8" s="180">
        <v>262.08278684142999</v>
      </c>
      <c r="I8" s="180">
        <v>260.95876137389001</v>
      </c>
      <c r="J8" s="181">
        <v>257.81238855825001</v>
      </c>
    </row>
    <row r="9" spans="1:17" x14ac:dyDescent="0.3">
      <c r="B9" s="30"/>
      <c r="C9" s="30"/>
      <c r="D9" s="30"/>
      <c r="E9" s="30"/>
      <c r="F9" s="30"/>
      <c r="G9" s="30"/>
      <c r="H9" s="30"/>
      <c r="I9" s="30"/>
      <c r="J9" s="30"/>
      <c r="K9" s="30"/>
      <c r="L9" s="30"/>
      <c r="M9" s="30"/>
      <c r="N9" s="30"/>
      <c r="O9" s="30"/>
    </row>
    <row r="10" spans="1:17" x14ac:dyDescent="0.3">
      <c r="A10" s="153" t="str">
        <f>$A$2 &amp; " (" &amp;J10 &amp; ")"</f>
        <v>Державний та гарантований державою борг України за поточний рік (млрд. дол. США)</v>
      </c>
      <c r="B10" s="30"/>
      <c r="C10" s="30"/>
      <c r="D10" s="30"/>
      <c r="E10" s="30"/>
      <c r="F10" s="30"/>
      <c r="G10" s="30"/>
      <c r="H10" s="30"/>
      <c r="I10" s="30"/>
      <c r="J10" s="31" t="str">
        <f>VALUSD</f>
        <v>млрд. дол. США</v>
      </c>
      <c r="K10" s="30"/>
      <c r="L10" s="30"/>
      <c r="M10" s="30"/>
      <c r="N10" s="30"/>
      <c r="O10" s="30"/>
    </row>
    <row r="11" spans="1:17" s="38" customFormat="1" x14ac:dyDescent="0.3">
      <c r="A11" s="59"/>
      <c r="B11" s="17">
        <v>46022</v>
      </c>
      <c r="C11" s="17">
        <v>46053</v>
      </c>
      <c r="D11" s="17">
        <v>46081</v>
      </c>
      <c r="E11" s="17">
        <v>46112</v>
      </c>
      <c r="F11" s="17">
        <v>46142</v>
      </c>
      <c r="G11" s="17">
        <v>46173</v>
      </c>
      <c r="H11" s="17">
        <v>46203</v>
      </c>
      <c r="I11" s="17">
        <v>46234</v>
      </c>
      <c r="J11" s="37">
        <v>46265</v>
      </c>
      <c r="K11" s="18"/>
      <c r="L11" s="18"/>
      <c r="M11" s="18"/>
      <c r="N11" s="18"/>
      <c r="O11" s="18"/>
      <c r="P11" s="18"/>
      <c r="Q11" s="18"/>
    </row>
    <row r="12" spans="1:17" s="40" customFormat="1" x14ac:dyDescent="0.3">
      <c r="A12" s="163" t="str">
        <f>DEBT_TOTAL</f>
        <v>Загальна сума державного та гарантованого державою боргу</v>
      </c>
      <c r="B12" s="48">
        <f>SUM(B13:B14)</f>
        <v>213.33206790508999</v>
      </c>
      <c r="C12" s="48">
        <f>SUM(C13:C14)</f>
        <v>215.00502527706001</v>
      </c>
      <c r="D12" s="48">
        <f>SUM(D13:D14)</f>
        <v>213.18209710067001</v>
      </c>
      <c r="E12" s="48">
        <f t="shared" ref="E12:J12" si="1">SUM(E13:E14)</f>
        <v>210.82138271958001</v>
      </c>
      <c r="F12" s="48">
        <f t="shared" si="1"/>
        <v>212.00286896928</v>
      </c>
      <c r="G12" s="48">
        <f t="shared" si="1"/>
        <v>210.47802761307</v>
      </c>
      <c r="H12" s="48">
        <f t="shared" si="1"/>
        <v>211.62409906782</v>
      </c>
      <c r="I12" s="48">
        <f t="shared" si="1"/>
        <v>214.18901496843998</v>
      </c>
      <c r="J12" s="48">
        <f t="shared" si="1"/>
        <v>215.55073598984998</v>
      </c>
      <c r="K12" s="39"/>
      <c r="L12" s="39"/>
      <c r="M12" s="39"/>
      <c r="N12" s="39"/>
      <c r="O12" s="39"/>
    </row>
    <row r="13" spans="1:17" s="44" customFormat="1" outlineLevel="1" x14ac:dyDescent="0.3">
      <c r="A13" s="177" t="s">
        <v>1</v>
      </c>
      <c r="B13" s="180">
        <v>206.80464722402999</v>
      </c>
      <c r="C13" s="180">
        <v>208.49738797955001</v>
      </c>
      <c r="D13" s="180">
        <v>206.92052157763001</v>
      </c>
      <c r="E13" s="175">
        <v>204.88557869716001</v>
      </c>
      <c r="F13" s="175">
        <v>206.11927248486001</v>
      </c>
      <c r="G13" s="175">
        <v>204.58059050159</v>
      </c>
      <c r="H13" s="175">
        <v>205.78027201629999</v>
      </c>
      <c r="I13" s="175">
        <v>208.34991407749999</v>
      </c>
      <c r="J13" s="176">
        <v>209.76376640346999</v>
      </c>
      <c r="K13" s="43"/>
      <c r="L13" s="43"/>
      <c r="M13" s="43"/>
      <c r="N13" s="43"/>
      <c r="O13" s="43"/>
    </row>
    <row r="14" spans="1:17" s="44" customFormat="1" outlineLevel="1" x14ac:dyDescent="0.3">
      <c r="A14" s="177" t="s">
        <v>2</v>
      </c>
      <c r="B14" s="180">
        <v>6.5274206810599997</v>
      </c>
      <c r="C14" s="180">
        <v>6.5076372975099996</v>
      </c>
      <c r="D14" s="180">
        <v>6.2615755230400003</v>
      </c>
      <c r="E14" s="175">
        <v>5.9358040224200002</v>
      </c>
      <c r="F14" s="175">
        <v>5.8835964844199999</v>
      </c>
      <c r="G14" s="175">
        <v>5.8974371114800004</v>
      </c>
      <c r="H14" s="175">
        <v>5.8438270515199999</v>
      </c>
      <c r="I14" s="175">
        <v>5.8391008909400002</v>
      </c>
      <c r="J14" s="176">
        <v>5.7869695863799997</v>
      </c>
      <c r="K14" s="43"/>
      <c r="L14" s="43"/>
      <c r="M14" s="43"/>
      <c r="N14" s="43"/>
      <c r="O14" s="43"/>
    </row>
    <row r="15" spans="1:17" x14ac:dyDescent="0.3">
      <c r="B15" s="30"/>
      <c r="C15" s="30"/>
      <c r="D15" s="30"/>
      <c r="E15" s="30"/>
      <c r="F15" s="30"/>
      <c r="G15" s="30"/>
      <c r="H15" s="30"/>
      <c r="I15" s="30"/>
      <c r="J15" s="30"/>
      <c r="K15" s="30"/>
      <c r="L15" s="30"/>
      <c r="M15" s="30"/>
      <c r="N15" s="30"/>
      <c r="O15" s="30"/>
    </row>
    <row r="16" spans="1:17" s="31" customFormat="1" x14ac:dyDescent="0.3">
      <c r="A16" s="45"/>
      <c r="B16" s="46"/>
      <c r="C16" s="46"/>
      <c r="D16" s="46"/>
      <c r="E16" s="46"/>
      <c r="F16" s="46"/>
      <c r="G16" s="46"/>
      <c r="H16" s="46"/>
      <c r="I16" s="46"/>
      <c r="J16" s="41" t="s">
        <v>130</v>
      </c>
    </row>
    <row r="17" spans="1:17" s="38" customFormat="1" x14ac:dyDescent="0.3">
      <c r="A17" s="60"/>
      <c r="B17" s="17">
        <v>46022</v>
      </c>
      <c r="C17" s="17">
        <v>46053</v>
      </c>
      <c r="D17" s="17">
        <v>46081</v>
      </c>
      <c r="E17" s="17">
        <v>46112</v>
      </c>
      <c r="F17" s="17">
        <v>46142</v>
      </c>
      <c r="G17" s="17">
        <v>46173</v>
      </c>
      <c r="H17" s="17">
        <v>46203</v>
      </c>
      <c r="I17" s="17">
        <v>46234</v>
      </c>
      <c r="J17" s="17">
        <v>46265</v>
      </c>
      <c r="K17" s="18"/>
      <c r="L17" s="18"/>
      <c r="M17" s="18"/>
      <c r="N17" s="18"/>
      <c r="O17" s="18"/>
      <c r="P17" s="18"/>
      <c r="Q17" s="18"/>
    </row>
    <row r="18" spans="1:17" s="40" customFormat="1" x14ac:dyDescent="0.3">
      <c r="A18" s="163" t="str">
        <f>DEBT_TOTAL</f>
        <v>Загальна сума державного та гарантованого державою боргу</v>
      </c>
      <c r="B18" s="48">
        <f t="shared" ref="B18:J18" si="2">SUM(B19:B20)</f>
        <v>1</v>
      </c>
      <c r="C18" s="48">
        <f t="shared" si="2"/>
        <v>1</v>
      </c>
      <c r="D18" s="48">
        <f t="shared" si="2"/>
        <v>1</v>
      </c>
      <c r="E18" s="48">
        <f t="shared" si="2"/>
        <v>1</v>
      </c>
      <c r="F18" s="48">
        <f t="shared" si="2"/>
        <v>1</v>
      </c>
      <c r="G18" s="48">
        <f t="shared" si="2"/>
        <v>1</v>
      </c>
      <c r="H18" s="48">
        <f t="shared" si="2"/>
        <v>1</v>
      </c>
      <c r="I18" s="48">
        <f t="shared" si="2"/>
        <v>1</v>
      </c>
      <c r="J18" s="48">
        <f t="shared" si="2"/>
        <v>1</v>
      </c>
      <c r="K18" s="39"/>
      <c r="L18" s="39"/>
      <c r="M18" s="39"/>
      <c r="N18" s="39"/>
      <c r="O18" s="39"/>
    </row>
    <row r="19" spans="1:17" s="44" customFormat="1" outlineLevel="1" x14ac:dyDescent="0.3">
      <c r="A19" s="177" t="s">
        <v>1</v>
      </c>
      <c r="B19" s="178">
        <v>0.96940300000000001</v>
      </c>
      <c r="C19" s="178">
        <v>0.96973299999999996</v>
      </c>
      <c r="D19" s="178">
        <v>0.97062800000000005</v>
      </c>
      <c r="E19" s="178">
        <v>0.97184400000000004</v>
      </c>
      <c r="F19" s="178">
        <v>0.972248</v>
      </c>
      <c r="G19" s="178">
        <v>0.97198099999999998</v>
      </c>
      <c r="H19" s="178">
        <v>0.97238599999999997</v>
      </c>
      <c r="I19" s="178">
        <v>0.97273900000000002</v>
      </c>
      <c r="J19" s="179">
        <v>0.97315300000000005</v>
      </c>
      <c r="K19" s="43"/>
      <c r="L19" s="43"/>
      <c r="M19" s="43"/>
      <c r="N19" s="43"/>
      <c r="O19" s="43"/>
    </row>
    <row r="20" spans="1:17" s="44" customFormat="1" outlineLevel="1" x14ac:dyDescent="0.3">
      <c r="A20" s="177" t="s">
        <v>2</v>
      </c>
      <c r="B20" s="178">
        <v>3.0596999999999999E-2</v>
      </c>
      <c r="C20" s="178">
        <v>3.0266999999999999E-2</v>
      </c>
      <c r="D20" s="178">
        <v>2.9371999999999999E-2</v>
      </c>
      <c r="E20" s="178">
        <v>2.8156E-2</v>
      </c>
      <c r="F20" s="178">
        <v>2.7751999999999999E-2</v>
      </c>
      <c r="G20" s="178">
        <v>2.8018999999999999E-2</v>
      </c>
      <c r="H20" s="178">
        <v>2.7614E-2</v>
      </c>
      <c r="I20" s="178">
        <v>2.7261000000000001E-2</v>
      </c>
      <c r="J20" s="179">
        <v>2.6846999999999999E-2</v>
      </c>
      <c r="K20" s="43"/>
      <c r="L20" s="43"/>
      <c r="M20" s="43"/>
      <c r="N20" s="43"/>
      <c r="O20" s="43"/>
    </row>
    <row r="21" spans="1:17" x14ac:dyDescent="0.3">
      <c r="B21" s="30"/>
      <c r="C21" s="30"/>
      <c r="D21" s="30"/>
      <c r="E21" s="30"/>
      <c r="F21" s="30"/>
      <c r="G21" s="30"/>
      <c r="H21" s="30"/>
      <c r="I21" s="30"/>
      <c r="J21" s="30"/>
      <c r="K21" s="30"/>
      <c r="L21" s="30"/>
      <c r="M21" s="30"/>
      <c r="N21" s="30"/>
      <c r="O21" s="30"/>
    </row>
    <row r="22" spans="1:17" x14ac:dyDescent="0.3">
      <c r="B22" s="30"/>
      <c r="C22" s="30"/>
      <c r="D22" s="30"/>
      <c r="E22" s="30"/>
      <c r="F22" s="30"/>
      <c r="G22" s="30"/>
      <c r="H22" s="30"/>
      <c r="I22" s="30"/>
      <c r="J22" s="30"/>
      <c r="K22" s="30"/>
      <c r="L22" s="30"/>
      <c r="M22" s="30"/>
      <c r="N22" s="30"/>
      <c r="O22" s="30"/>
    </row>
    <row r="23" spans="1:17" x14ac:dyDescent="0.3">
      <c r="B23" s="30"/>
      <c r="C23" s="30"/>
      <c r="D23" s="30"/>
      <c r="E23" s="30"/>
      <c r="F23" s="30"/>
      <c r="G23" s="30"/>
      <c r="H23" s="30"/>
      <c r="I23" s="30"/>
      <c r="J23" s="30"/>
      <c r="K23" s="30"/>
      <c r="L23" s="30"/>
      <c r="M23" s="30"/>
      <c r="N23" s="30"/>
      <c r="O23" s="30"/>
    </row>
    <row r="24" spans="1:17" x14ac:dyDescent="0.3">
      <c r="B24" s="30"/>
      <c r="C24" s="30"/>
      <c r="D24" s="30"/>
      <c r="E24" s="30"/>
      <c r="F24" s="30"/>
      <c r="G24" s="30"/>
      <c r="H24" s="30"/>
      <c r="I24" s="30"/>
      <c r="J24" s="30"/>
      <c r="K24" s="30"/>
      <c r="L24" s="30"/>
      <c r="M24" s="30"/>
      <c r="N24" s="30"/>
      <c r="O24" s="30"/>
    </row>
    <row r="25" spans="1:17" s="45" customFormat="1" x14ac:dyDescent="0.3">
      <c r="B25" s="46"/>
      <c r="C25" s="46"/>
      <c r="D25" s="46"/>
      <c r="E25" s="46"/>
      <c r="F25" s="46"/>
      <c r="G25" s="46"/>
      <c r="H25" s="46"/>
      <c r="I25" s="46"/>
      <c r="J25" s="46"/>
      <c r="K25" s="46"/>
      <c r="L25" s="46"/>
      <c r="M25" s="46"/>
      <c r="N25" s="46"/>
      <c r="O25" s="46"/>
    </row>
    <row r="26" spans="1:17" x14ac:dyDescent="0.3">
      <c r="B26" s="30"/>
      <c r="C26" s="30"/>
      <c r="D26" s="30"/>
      <c r="E26" s="30"/>
      <c r="F26" s="30"/>
      <c r="G26" s="30"/>
      <c r="H26" s="30"/>
      <c r="I26" s="30"/>
      <c r="J26" s="30"/>
      <c r="K26" s="30"/>
      <c r="L26" s="30"/>
      <c r="M26" s="30"/>
      <c r="N26" s="30"/>
      <c r="O26" s="30"/>
    </row>
    <row r="27" spans="1:17" x14ac:dyDescent="0.3">
      <c r="B27" s="30"/>
      <c r="C27" s="30"/>
      <c r="D27" s="30"/>
      <c r="E27" s="30"/>
      <c r="F27" s="30"/>
      <c r="G27" s="30"/>
      <c r="H27" s="30"/>
      <c r="I27" s="30"/>
      <c r="J27" s="30"/>
      <c r="K27" s="30"/>
      <c r="L27" s="30"/>
      <c r="M27" s="30"/>
      <c r="N27" s="30"/>
      <c r="O27" s="30"/>
    </row>
    <row r="28" spans="1:17" x14ac:dyDescent="0.3">
      <c r="B28" s="30"/>
      <c r="C28" s="30"/>
      <c r="D28" s="30"/>
      <c r="E28" s="30"/>
      <c r="F28" s="30"/>
      <c r="G28" s="30"/>
      <c r="H28" s="30"/>
      <c r="I28" s="30"/>
      <c r="J28" s="30"/>
      <c r="K28" s="30"/>
      <c r="L28" s="30"/>
      <c r="M28" s="30"/>
      <c r="N28" s="30"/>
      <c r="O28" s="30"/>
    </row>
    <row r="29" spans="1:17" x14ac:dyDescent="0.3">
      <c r="B29" s="30"/>
      <c r="C29" s="30"/>
      <c r="D29" s="30"/>
      <c r="E29" s="30"/>
      <c r="F29" s="30"/>
      <c r="G29" s="30"/>
      <c r="H29" s="30"/>
      <c r="I29" s="30"/>
      <c r="J29" s="30"/>
      <c r="K29" s="30"/>
      <c r="L29" s="30"/>
      <c r="M29" s="30"/>
      <c r="N29" s="30"/>
      <c r="O29" s="30"/>
    </row>
    <row r="30" spans="1:17" x14ac:dyDescent="0.3">
      <c r="B30" s="30"/>
      <c r="C30" s="30"/>
      <c r="D30" s="30"/>
      <c r="E30" s="30"/>
      <c r="F30" s="30"/>
      <c r="G30" s="30"/>
      <c r="H30" s="30"/>
      <c r="I30" s="30"/>
      <c r="J30" s="30"/>
      <c r="K30" s="30"/>
      <c r="L30" s="30"/>
      <c r="M30" s="30"/>
      <c r="N30" s="30"/>
      <c r="O30" s="30"/>
    </row>
    <row r="31" spans="1:17" x14ac:dyDescent="0.3">
      <c r="B31" s="30"/>
      <c r="C31" s="30"/>
      <c r="D31" s="30"/>
      <c r="E31" s="30"/>
      <c r="F31" s="30"/>
      <c r="G31" s="30"/>
      <c r="H31" s="30"/>
      <c r="I31" s="30"/>
      <c r="J31" s="30"/>
      <c r="K31" s="30"/>
      <c r="L31" s="30"/>
      <c r="M31" s="30"/>
      <c r="N31" s="30"/>
      <c r="O31" s="30"/>
    </row>
    <row r="32" spans="1:17" x14ac:dyDescent="0.3">
      <c r="B32" s="30"/>
      <c r="C32" s="30"/>
      <c r="D32" s="30"/>
      <c r="E32" s="30"/>
      <c r="F32" s="30"/>
      <c r="G32" s="30"/>
      <c r="H32" s="30"/>
      <c r="I32" s="30"/>
      <c r="J32" s="30"/>
      <c r="K32" s="30"/>
      <c r="L32" s="30"/>
      <c r="M32" s="30"/>
      <c r="N32" s="30"/>
      <c r="O32" s="30"/>
    </row>
    <row r="33" spans="2:15" x14ac:dyDescent="0.3">
      <c r="B33" s="30"/>
      <c r="C33" s="30"/>
      <c r="D33" s="30"/>
      <c r="E33" s="30"/>
      <c r="F33" s="30"/>
      <c r="G33" s="30"/>
      <c r="H33" s="30"/>
      <c r="I33" s="30"/>
      <c r="J33" s="30"/>
      <c r="K33" s="30"/>
      <c r="L33" s="30"/>
      <c r="M33" s="30"/>
      <c r="N33" s="30"/>
      <c r="O33" s="30"/>
    </row>
    <row r="34" spans="2:15" x14ac:dyDescent="0.3">
      <c r="B34" s="30"/>
      <c r="C34" s="30"/>
      <c r="D34" s="30"/>
      <c r="E34" s="30"/>
      <c r="F34" s="30"/>
      <c r="G34" s="30"/>
      <c r="H34" s="30"/>
      <c r="I34" s="30"/>
      <c r="J34" s="30"/>
      <c r="K34" s="30"/>
      <c r="L34" s="30"/>
      <c r="M34" s="30"/>
      <c r="N34" s="30"/>
      <c r="O34" s="30"/>
    </row>
    <row r="35" spans="2:15" x14ac:dyDescent="0.3">
      <c r="B35" s="30"/>
      <c r="C35" s="30"/>
      <c r="D35" s="30"/>
      <c r="E35" s="30"/>
      <c r="F35" s="30"/>
      <c r="G35" s="30"/>
      <c r="H35" s="30"/>
      <c r="I35" s="30"/>
      <c r="J35" s="30"/>
      <c r="K35" s="30"/>
      <c r="L35" s="30"/>
      <c r="M35" s="30"/>
      <c r="N35" s="30"/>
      <c r="O35" s="30"/>
    </row>
    <row r="36" spans="2:15" x14ac:dyDescent="0.3">
      <c r="B36" s="30"/>
      <c r="C36" s="30"/>
      <c r="D36" s="30"/>
      <c r="E36" s="30"/>
      <c r="F36" s="30"/>
      <c r="G36" s="30"/>
      <c r="H36" s="30"/>
      <c r="I36" s="30"/>
      <c r="J36" s="30"/>
      <c r="K36" s="30"/>
      <c r="L36" s="30"/>
      <c r="M36" s="30"/>
      <c r="N36" s="30"/>
      <c r="O36" s="30"/>
    </row>
    <row r="37" spans="2:15" x14ac:dyDescent="0.3">
      <c r="B37" s="30"/>
      <c r="C37" s="30"/>
      <c r="D37" s="30"/>
      <c r="E37" s="30"/>
      <c r="F37" s="30"/>
      <c r="G37" s="30"/>
      <c r="H37" s="30"/>
      <c r="I37" s="30"/>
      <c r="J37" s="30"/>
      <c r="K37" s="30"/>
      <c r="L37" s="30"/>
      <c r="M37" s="30"/>
      <c r="N37" s="30"/>
      <c r="O37" s="30"/>
    </row>
    <row r="38" spans="2:15" x14ac:dyDescent="0.3">
      <c r="B38" s="30"/>
      <c r="C38" s="30"/>
      <c r="D38" s="30"/>
      <c r="E38" s="30"/>
      <c r="F38" s="30"/>
      <c r="G38" s="30"/>
      <c r="H38" s="30"/>
      <c r="I38" s="30"/>
      <c r="J38" s="30"/>
      <c r="K38" s="30"/>
      <c r="L38" s="30"/>
      <c r="M38" s="30"/>
      <c r="N38" s="30"/>
      <c r="O38" s="30"/>
    </row>
    <row r="39" spans="2:15" x14ac:dyDescent="0.3">
      <c r="B39" s="30"/>
      <c r="C39" s="30"/>
      <c r="D39" s="30"/>
      <c r="E39" s="30"/>
      <c r="F39" s="30"/>
      <c r="G39" s="30"/>
      <c r="H39" s="30"/>
      <c r="I39" s="30"/>
      <c r="J39" s="30"/>
      <c r="K39" s="30"/>
      <c r="L39" s="30"/>
      <c r="M39" s="30"/>
      <c r="N39" s="30"/>
      <c r="O39" s="30"/>
    </row>
    <row r="40" spans="2:15" x14ac:dyDescent="0.3">
      <c r="B40" s="30"/>
      <c r="C40" s="30"/>
      <c r="D40" s="30"/>
      <c r="E40" s="30"/>
      <c r="F40" s="30"/>
      <c r="G40" s="30"/>
      <c r="H40" s="30"/>
      <c r="I40" s="30"/>
      <c r="J40" s="30"/>
      <c r="K40" s="30"/>
      <c r="L40" s="30"/>
      <c r="M40" s="30"/>
      <c r="N40" s="30"/>
      <c r="O40" s="30"/>
    </row>
    <row r="41" spans="2:15" x14ac:dyDescent="0.3">
      <c r="B41" s="30"/>
      <c r="C41" s="30"/>
      <c r="D41" s="30"/>
      <c r="E41" s="30"/>
      <c r="F41" s="30"/>
      <c r="G41" s="30"/>
      <c r="H41" s="30"/>
      <c r="I41" s="30"/>
      <c r="J41" s="30"/>
      <c r="K41" s="30"/>
      <c r="L41" s="30"/>
      <c r="M41" s="30"/>
      <c r="N41" s="30"/>
      <c r="O41" s="30"/>
    </row>
    <row r="42" spans="2:15" x14ac:dyDescent="0.3">
      <c r="B42" s="30"/>
      <c r="C42" s="30"/>
      <c r="D42" s="30"/>
      <c r="E42" s="30"/>
      <c r="F42" s="30"/>
      <c r="G42" s="30"/>
      <c r="H42" s="30"/>
      <c r="I42" s="30"/>
      <c r="J42" s="30"/>
      <c r="K42" s="30"/>
      <c r="L42" s="30"/>
      <c r="M42" s="30"/>
      <c r="N42" s="30"/>
      <c r="O42" s="30"/>
    </row>
    <row r="43" spans="2:15" x14ac:dyDescent="0.3">
      <c r="B43" s="30"/>
      <c r="C43" s="30"/>
      <c r="D43" s="30"/>
      <c r="E43" s="30"/>
      <c r="F43" s="30"/>
      <c r="G43" s="30"/>
      <c r="H43" s="30"/>
      <c r="I43" s="30"/>
      <c r="J43" s="30"/>
      <c r="K43" s="30"/>
      <c r="L43" s="30"/>
      <c r="M43" s="30"/>
      <c r="N43" s="30"/>
      <c r="O43" s="30"/>
    </row>
    <row r="44" spans="2:15" x14ac:dyDescent="0.3">
      <c r="B44" s="30"/>
      <c r="C44" s="30"/>
      <c r="D44" s="30"/>
      <c r="E44" s="30"/>
      <c r="F44" s="30"/>
      <c r="G44" s="30"/>
      <c r="H44" s="30"/>
      <c r="I44" s="30"/>
      <c r="J44" s="30"/>
      <c r="K44" s="30"/>
      <c r="L44" s="30"/>
      <c r="M44" s="30"/>
      <c r="N44" s="30"/>
      <c r="O44" s="30"/>
    </row>
    <row r="45" spans="2:15" x14ac:dyDescent="0.3">
      <c r="B45" s="30"/>
      <c r="C45" s="30"/>
      <c r="D45" s="30"/>
      <c r="E45" s="30"/>
      <c r="F45" s="30"/>
      <c r="G45" s="30"/>
      <c r="H45" s="30"/>
      <c r="I45" s="30"/>
      <c r="J45" s="30"/>
      <c r="K45" s="30"/>
      <c r="L45" s="30"/>
      <c r="M45" s="30"/>
      <c r="N45" s="30"/>
      <c r="O45" s="30"/>
    </row>
    <row r="46" spans="2:15" x14ac:dyDescent="0.3">
      <c r="B46" s="30"/>
      <c r="C46" s="30"/>
      <c r="D46" s="30"/>
      <c r="E46" s="30"/>
      <c r="F46" s="30"/>
      <c r="G46" s="30"/>
      <c r="H46" s="30"/>
      <c r="I46" s="30"/>
      <c r="J46" s="30"/>
      <c r="K46" s="30"/>
      <c r="L46" s="30"/>
      <c r="M46" s="30"/>
      <c r="N46" s="30"/>
      <c r="O46" s="30"/>
    </row>
    <row r="47" spans="2:15" x14ac:dyDescent="0.3">
      <c r="B47" s="30"/>
      <c r="C47" s="30"/>
      <c r="D47" s="30"/>
      <c r="E47" s="30"/>
      <c r="F47" s="30"/>
      <c r="G47" s="30"/>
      <c r="H47" s="30"/>
      <c r="I47" s="30"/>
      <c r="J47" s="30"/>
      <c r="K47" s="30"/>
      <c r="L47" s="30"/>
      <c r="M47" s="30"/>
      <c r="N47" s="30"/>
      <c r="O47" s="30"/>
    </row>
    <row r="48" spans="2:15" x14ac:dyDescent="0.3">
      <c r="B48" s="30"/>
      <c r="C48" s="30"/>
      <c r="D48" s="30"/>
      <c r="E48" s="30"/>
      <c r="F48" s="30"/>
      <c r="G48" s="30"/>
      <c r="H48" s="30"/>
      <c r="I48" s="30"/>
      <c r="J48" s="30"/>
      <c r="K48" s="30"/>
      <c r="L48" s="30"/>
      <c r="M48" s="30"/>
      <c r="N48" s="30"/>
      <c r="O48" s="30"/>
    </row>
    <row r="49" spans="2:15" x14ac:dyDescent="0.3">
      <c r="B49" s="30"/>
      <c r="C49" s="30"/>
      <c r="D49" s="30"/>
      <c r="E49" s="30"/>
      <c r="F49" s="30"/>
      <c r="G49" s="30"/>
      <c r="H49" s="30"/>
      <c r="I49" s="30"/>
      <c r="J49" s="30"/>
      <c r="K49" s="30"/>
      <c r="L49" s="30"/>
      <c r="M49" s="30"/>
      <c r="N49" s="30"/>
      <c r="O49" s="30"/>
    </row>
    <row r="50" spans="2:15" x14ac:dyDescent="0.3">
      <c r="B50" s="30"/>
      <c r="C50" s="30"/>
      <c r="D50" s="30"/>
      <c r="E50" s="30"/>
      <c r="F50" s="30"/>
      <c r="G50" s="30"/>
      <c r="H50" s="30"/>
      <c r="I50" s="30"/>
      <c r="J50" s="30"/>
      <c r="K50" s="30"/>
      <c r="L50" s="30"/>
      <c r="M50" s="30"/>
      <c r="N50" s="30"/>
      <c r="O50" s="30"/>
    </row>
    <row r="51" spans="2:15" x14ac:dyDescent="0.3">
      <c r="B51" s="30"/>
      <c r="C51" s="30"/>
      <c r="D51" s="30"/>
      <c r="E51" s="30"/>
      <c r="F51" s="30"/>
      <c r="G51" s="30"/>
      <c r="H51" s="30"/>
      <c r="I51" s="30"/>
      <c r="J51" s="30"/>
      <c r="K51" s="30"/>
      <c r="L51" s="30"/>
      <c r="M51" s="30"/>
      <c r="N51" s="30"/>
      <c r="O51" s="30"/>
    </row>
    <row r="52" spans="2:15" x14ac:dyDescent="0.3">
      <c r="B52" s="30"/>
      <c r="C52" s="30"/>
      <c r="D52" s="30"/>
      <c r="E52" s="30"/>
      <c r="F52" s="30"/>
      <c r="G52" s="30"/>
      <c r="H52" s="30"/>
      <c r="I52" s="30"/>
      <c r="J52" s="30"/>
      <c r="K52" s="30"/>
      <c r="L52" s="30"/>
      <c r="M52" s="30"/>
      <c r="N52" s="30"/>
      <c r="O52" s="30"/>
    </row>
    <row r="53" spans="2:15" x14ac:dyDescent="0.3">
      <c r="B53" s="30"/>
      <c r="C53" s="30"/>
      <c r="D53" s="30"/>
      <c r="E53" s="30"/>
      <c r="F53" s="30"/>
      <c r="G53" s="30"/>
      <c r="H53" s="30"/>
      <c r="I53" s="30"/>
      <c r="J53" s="30"/>
      <c r="K53" s="30"/>
      <c r="L53" s="30"/>
      <c r="M53" s="30"/>
      <c r="N53" s="30"/>
      <c r="O53" s="30"/>
    </row>
    <row r="54" spans="2:15" x14ac:dyDescent="0.3">
      <c r="B54" s="30"/>
      <c r="C54" s="30"/>
      <c r="D54" s="30"/>
      <c r="E54" s="30"/>
      <c r="F54" s="30"/>
      <c r="G54" s="30"/>
      <c r="H54" s="30"/>
      <c r="I54" s="30"/>
      <c r="J54" s="30"/>
      <c r="K54" s="30"/>
      <c r="L54" s="30"/>
      <c r="M54" s="30"/>
      <c r="N54" s="30"/>
      <c r="O54" s="30"/>
    </row>
    <row r="55" spans="2:15" x14ac:dyDescent="0.3">
      <c r="B55" s="30"/>
      <c r="C55" s="30"/>
      <c r="D55" s="30"/>
      <c r="E55" s="30"/>
      <c r="F55" s="30"/>
      <c r="G55" s="30"/>
      <c r="H55" s="30"/>
      <c r="I55" s="30"/>
      <c r="J55" s="30"/>
      <c r="K55" s="30"/>
      <c r="L55" s="30"/>
      <c r="M55" s="30"/>
      <c r="N55" s="30"/>
      <c r="O55" s="30"/>
    </row>
    <row r="56" spans="2:15" x14ac:dyDescent="0.3">
      <c r="B56" s="30"/>
      <c r="C56" s="30"/>
      <c r="D56" s="30"/>
      <c r="E56" s="30"/>
      <c r="F56" s="30"/>
      <c r="G56" s="30"/>
      <c r="H56" s="30"/>
      <c r="I56" s="30"/>
      <c r="J56" s="30"/>
      <c r="K56" s="30"/>
      <c r="L56" s="30"/>
      <c r="M56" s="30"/>
      <c r="N56" s="30"/>
      <c r="O56" s="30"/>
    </row>
    <row r="57" spans="2:15" x14ac:dyDescent="0.3">
      <c r="B57" s="30"/>
      <c r="C57" s="30"/>
      <c r="D57" s="30"/>
      <c r="E57" s="30"/>
      <c r="F57" s="30"/>
      <c r="G57" s="30"/>
      <c r="H57" s="30"/>
      <c r="I57" s="30"/>
      <c r="J57" s="30"/>
      <c r="K57" s="30"/>
      <c r="L57" s="30"/>
      <c r="M57" s="30"/>
      <c r="N57" s="30"/>
      <c r="O57" s="30"/>
    </row>
    <row r="58" spans="2:15" x14ac:dyDescent="0.3">
      <c r="B58" s="30"/>
      <c r="C58" s="30"/>
      <c r="D58" s="30"/>
      <c r="E58" s="30"/>
      <c r="F58" s="30"/>
      <c r="G58" s="30"/>
      <c r="H58" s="30"/>
      <c r="I58" s="30"/>
      <c r="J58" s="30"/>
      <c r="K58" s="30"/>
      <c r="L58" s="30"/>
      <c r="M58" s="30"/>
      <c r="N58" s="30"/>
      <c r="O58" s="30"/>
    </row>
    <row r="59" spans="2:15" x14ac:dyDescent="0.3">
      <c r="B59" s="30"/>
      <c r="C59" s="30"/>
      <c r="D59" s="30"/>
      <c r="E59" s="30"/>
      <c r="F59" s="30"/>
      <c r="G59" s="30"/>
      <c r="H59" s="30"/>
      <c r="I59" s="30"/>
      <c r="J59" s="30"/>
      <c r="K59" s="30"/>
      <c r="L59" s="30"/>
      <c r="M59" s="30"/>
      <c r="N59" s="30"/>
      <c r="O59" s="30"/>
    </row>
    <row r="60" spans="2:15" x14ac:dyDescent="0.3">
      <c r="B60" s="30"/>
      <c r="C60" s="30"/>
      <c r="D60" s="30"/>
      <c r="E60" s="30"/>
      <c r="F60" s="30"/>
      <c r="G60" s="30"/>
      <c r="H60" s="30"/>
      <c r="I60" s="30"/>
      <c r="J60" s="30"/>
      <c r="K60" s="30"/>
      <c r="L60" s="30"/>
      <c r="M60" s="30"/>
      <c r="N60" s="30"/>
      <c r="O60" s="30"/>
    </row>
    <row r="61" spans="2:15" x14ac:dyDescent="0.3">
      <c r="B61" s="30"/>
      <c r="C61" s="30"/>
      <c r="D61" s="30"/>
      <c r="E61" s="30"/>
      <c r="F61" s="30"/>
      <c r="G61" s="30"/>
      <c r="H61" s="30"/>
      <c r="I61" s="30"/>
      <c r="J61" s="30"/>
      <c r="K61" s="30"/>
      <c r="L61" s="30"/>
      <c r="M61" s="30"/>
      <c r="N61" s="30"/>
      <c r="O61" s="30"/>
    </row>
    <row r="62" spans="2:15" x14ac:dyDescent="0.3">
      <c r="B62" s="30"/>
      <c r="C62" s="30"/>
      <c r="D62" s="30"/>
      <c r="E62" s="30"/>
      <c r="F62" s="30"/>
      <c r="G62" s="30"/>
      <c r="H62" s="30"/>
      <c r="I62" s="30"/>
      <c r="J62" s="30"/>
      <c r="K62" s="30"/>
      <c r="L62" s="30"/>
      <c r="M62" s="30"/>
      <c r="N62" s="30"/>
      <c r="O62" s="30"/>
    </row>
    <row r="63" spans="2:15" x14ac:dyDescent="0.3">
      <c r="B63" s="30"/>
      <c r="C63" s="30"/>
      <c r="D63" s="30"/>
      <c r="E63" s="30"/>
      <c r="F63" s="30"/>
      <c r="G63" s="30"/>
      <c r="H63" s="30"/>
      <c r="I63" s="30"/>
      <c r="J63" s="30"/>
      <c r="K63" s="30"/>
      <c r="L63" s="30"/>
      <c r="M63" s="30"/>
      <c r="N63" s="30"/>
      <c r="O63" s="30"/>
    </row>
    <row r="64" spans="2:15" x14ac:dyDescent="0.3">
      <c r="B64" s="30"/>
      <c r="C64" s="30"/>
      <c r="D64" s="30"/>
      <c r="E64" s="30"/>
      <c r="F64" s="30"/>
      <c r="G64" s="30"/>
      <c r="H64" s="30"/>
      <c r="I64" s="30"/>
      <c r="J64" s="30"/>
      <c r="K64" s="30"/>
      <c r="L64" s="30"/>
      <c r="M64" s="30"/>
      <c r="N64" s="30"/>
      <c r="O64" s="30"/>
    </row>
    <row r="65" spans="2:15" x14ac:dyDescent="0.3">
      <c r="B65" s="30"/>
      <c r="C65" s="30"/>
      <c r="D65" s="30"/>
      <c r="E65" s="30"/>
      <c r="F65" s="30"/>
      <c r="G65" s="30"/>
      <c r="H65" s="30"/>
      <c r="I65" s="30"/>
      <c r="J65" s="30"/>
      <c r="K65" s="30"/>
      <c r="L65" s="30"/>
      <c r="M65" s="30"/>
      <c r="N65" s="30"/>
      <c r="O65" s="30"/>
    </row>
    <row r="66" spans="2:15" x14ac:dyDescent="0.3">
      <c r="B66" s="30"/>
      <c r="C66" s="30"/>
      <c r="D66" s="30"/>
      <c r="E66" s="30"/>
      <c r="F66" s="30"/>
      <c r="G66" s="30"/>
      <c r="H66" s="30"/>
      <c r="I66" s="30"/>
      <c r="J66" s="30"/>
      <c r="K66" s="30"/>
      <c r="L66" s="30"/>
      <c r="M66" s="30"/>
      <c r="N66" s="30"/>
      <c r="O66" s="30"/>
    </row>
    <row r="67" spans="2:15" x14ac:dyDescent="0.3">
      <c r="B67" s="30"/>
      <c r="C67" s="30"/>
      <c r="D67" s="30"/>
      <c r="E67" s="30"/>
      <c r="F67" s="30"/>
      <c r="G67" s="30"/>
      <c r="H67" s="30"/>
      <c r="I67" s="30"/>
      <c r="J67" s="30"/>
      <c r="K67" s="30"/>
      <c r="L67" s="30"/>
      <c r="M67" s="30"/>
      <c r="N67" s="30"/>
      <c r="O67" s="30"/>
    </row>
    <row r="68" spans="2:15" x14ac:dyDescent="0.3">
      <c r="B68" s="30"/>
      <c r="C68" s="30"/>
      <c r="D68" s="30"/>
      <c r="E68" s="30"/>
      <c r="F68" s="30"/>
      <c r="G68" s="30"/>
      <c r="H68" s="30"/>
      <c r="I68" s="30"/>
      <c r="J68" s="30"/>
      <c r="K68" s="30"/>
      <c r="L68" s="30"/>
      <c r="M68" s="30"/>
      <c r="N68" s="30"/>
      <c r="O68" s="30"/>
    </row>
    <row r="69" spans="2:15" x14ac:dyDescent="0.3">
      <c r="B69" s="30"/>
      <c r="C69" s="30"/>
      <c r="D69" s="30"/>
      <c r="E69" s="30"/>
      <c r="F69" s="30"/>
      <c r="G69" s="30"/>
      <c r="H69" s="30"/>
      <c r="I69" s="30"/>
      <c r="J69" s="30"/>
      <c r="K69" s="30"/>
      <c r="L69" s="30"/>
      <c r="M69" s="30"/>
      <c r="N69" s="30"/>
      <c r="O69" s="30"/>
    </row>
    <row r="70" spans="2:15" x14ac:dyDescent="0.3">
      <c r="B70" s="30"/>
      <c r="C70" s="30"/>
      <c r="D70" s="30"/>
      <c r="E70" s="30"/>
      <c r="F70" s="30"/>
      <c r="G70" s="30"/>
      <c r="H70" s="30"/>
      <c r="I70" s="30"/>
      <c r="J70" s="30"/>
      <c r="K70" s="30"/>
      <c r="L70" s="30"/>
      <c r="M70" s="30"/>
      <c r="N70" s="30"/>
      <c r="O70" s="30"/>
    </row>
    <row r="71" spans="2:15" x14ac:dyDescent="0.3">
      <c r="B71" s="30"/>
      <c r="C71" s="30"/>
      <c r="D71" s="30"/>
      <c r="E71" s="30"/>
      <c r="F71" s="30"/>
      <c r="G71" s="30"/>
      <c r="H71" s="30"/>
      <c r="I71" s="30"/>
      <c r="J71" s="30"/>
      <c r="K71" s="30"/>
      <c r="L71" s="30"/>
      <c r="M71" s="30"/>
      <c r="N71" s="30"/>
      <c r="O71" s="30"/>
    </row>
    <row r="72" spans="2:15" x14ac:dyDescent="0.3">
      <c r="B72" s="30"/>
      <c r="C72" s="30"/>
      <c r="D72" s="30"/>
      <c r="E72" s="30"/>
      <c r="F72" s="30"/>
      <c r="G72" s="30"/>
      <c r="H72" s="30"/>
      <c r="I72" s="30"/>
      <c r="J72" s="30"/>
      <c r="K72" s="30"/>
      <c r="L72" s="30"/>
      <c r="M72" s="30"/>
      <c r="N72" s="30"/>
      <c r="O72" s="30"/>
    </row>
    <row r="73" spans="2:15" x14ac:dyDescent="0.3">
      <c r="B73" s="30"/>
      <c r="C73" s="30"/>
      <c r="D73" s="30"/>
      <c r="E73" s="30"/>
      <c r="F73" s="30"/>
      <c r="G73" s="30"/>
      <c r="H73" s="30"/>
      <c r="I73" s="30"/>
      <c r="J73" s="30"/>
      <c r="K73" s="30"/>
      <c r="L73" s="30"/>
      <c r="M73" s="30"/>
      <c r="N73" s="30"/>
      <c r="O73" s="30"/>
    </row>
    <row r="74" spans="2:15" x14ac:dyDescent="0.3">
      <c r="B74" s="30"/>
      <c r="C74" s="30"/>
      <c r="D74" s="30"/>
      <c r="E74" s="30"/>
      <c r="F74" s="30"/>
      <c r="G74" s="30"/>
      <c r="H74" s="30"/>
      <c r="I74" s="30"/>
      <c r="J74" s="30"/>
      <c r="K74" s="30"/>
      <c r="L74" s="30"/>
      <c r="M74" s="30"/>
      <c r="N74" s="30"/>
      <c r="O74" s="30"/>
    </row>
    <row r="75" spans="2:15" x14ac:dyDescent="0.3">
      <c r="B75" s="30"/>
      <c r="C75" s="30"/>
      <c r="D75" s="30"/>
      <c r="E75" s="30"/>
      <c r="F75" s="30"/>
      <c r="G75" s="30"/>
      <c r="H75" s="30"/>
      <c r="I75" s="30"/>
      <c r="J75" s="30"/>
      <c r="K75" s="30"/>
      <c r="L75" s="30"/>
      <c r="M75" s="30"/>
      <c r="N75" s="30"/>
      <c r="O75" s="30"/>
    </row>
    <row r="76" spans="2:15" x14ac:dyDescent="0.3">
      <c r="B76" s="30"/>
      <c r="C76" s="30"/>
      <c r="D76" s="30"/>
      <c r="E76" s="30"/>
      <c r="F76" s="30"/>
      <c r="G76" s="30"/>
      <c r="H76" s="30"/>
      <c r="I76" s="30"/>
      <c r="J76" s="30"/>
      <c r="K76" s="30"/>
      <c r="L76" s="30"/>
      <c r="M76" s="30"/>
      <c r="N76" s="30"/>
      <c r="O76" s="30"/>
    </row>
    <row r="77" spans="2:15" x14ac:dyDescent="0.3">
      <c r="B77" s="30"/>
      <c r="C77" s="30"/>
      <c r="D77" s="30"/>
      <c r="E77" s="30"/>
      <c r="F77" s="30"/>
      <c r="G77" s="30"/>
      <c r="H77" s="30"/>
      <c r="I77" s="30"/>
      <c r="J77" s="30"/>
      <c r="K77" s="30"/>
      <c r="L77" s="30"/>
      <c r="M77" s="30"/>
      <c r="N77" s="30"/>
      <c r="O77" s="30"/>
    </row>
    <row r="78" spans="2:15" x14ac:dyDescent="0.3">
      <c r="B78" s="30"/>
      <c r="C78" s="30"/>
      <c r="D78" s="30"/>
      <c r="E78" s="30"/>
      <c r="F78" s="30"/>
      <c r="G78" s="30"/>
      <c r="H78" s="30"/>
      <c r="I78" s="30"/>
      <c r="J78" s="30"/>
      <c r="K78" s="30"/>
      <c r="L78" s="30"/>
      <c r="M78" s="30"/>
      <c r="N78" s="30"/>
      <c r="O78" s="30"/>
    </row>
    <row r="79" spans="2:15" x14ac:dyDescent="0.3">
      <c r="B79" s="30"/>
      <c r="C79" s="30"/>
      <c r="D79" s="30"/>
      <c r="E79" s="30"/>
      <c r="F79" s="30"/>
      <c r="G79" s="30"/>
      <c r="H79" s="30"/>
      <c r="I79" s="30"/>
      <c r="J79" s="30"/>
      <c r="K79" s="30"/>
      <c r="L79" s="30"/>
      <c r="M79" s="30"/>
      <c r="N79" s="30"/>
      <c r="O79" s="30"/>
    </row>
    <row r="80" spans="2:15" x14ac:dyDescent="0.3">
      <c r="B80" s="30"/>
      <c r="C80" s="30"/>
      <c r="D80" s="30"/>
      <c r="E80" s="30"/>
      <c r="F80" s="30"/>
      <c r="G80" s="30"/>
      <c r="H80" s="30"/>
      <c r="I80" s="30"/>
      <c r="J80" s="30"/>
      <c r="K80" s="30"/>
      <c r="L80" s="30"/>
      <c r="M80" s="30"/>
      <c r="N80" s="30"/>
      <c r="O80" s="30"/>
    </row>
    <row r="81" spans="2:15" x14ac:dyDescent="0.3">
      <c r="B81" s="30"/>
      <c r="C81" s="30"/>
      <c r="D81" s="30"/>
      <c r="E81" s="30"/>
      <c r="F81" s="30"/>
      <c r="G81" s="30"/>
      <c r="H81" s="30"/>
      <c r="I81" s="30"/>
      <c r="J81" s="30"/>
      <c r="K81" s="30"/>
      <c r="L81" s="30"/>
      <c r="M81" s="30"/>
      <c r="N81" s="30"/>
      <c r="O81" s="30"/>
    </row>
    <row r="82" spans="2:15" x14ac:dyDescent="0.3">
      <c r="B82" s="30"/>
      <c r="C82" s="30"/>
      <c r="D82" s="30"/>
      <c r="E82" s="30"/>
      <c r="F82" s="30"/>
      <c r="G82" s="30"/>
      <c r="H82" s="30"/>
      <c r="I82" s="30"/>
      <c r="J82" s="30"/>
      <c r="K82" s="30"/>
      <c r="L82" s="30"/>
      <c r="M82" s="30"/>
      <c r="N82" s="30"/>
      <c r="O82" s="30"/>
    </row>
    <row r="83" spans="2:15" x14ac:dyDescent="0.3">
      <c r="B83" s="30"/>
      <c r="C83" s="30"/>
      <c r="D83" s="30"/>
      <c r="E83" s="30"/>
      <c r="F83" s="30"/>
      <c r="G83" s="30"/>
      <c r="H83" s="30"/>
      <c r="I83" s="30"/>
      <c r="J83" s="30"/>
      <c r="K83" s="30"/>
      <c r="L83" s="30"/>
      <c r="M83" s="30"/>
      <c r="N83" s="30"/>
      <c r="O83" s="30"/>
    </row>
    <row r="84" spans="2:15" x14ac:dyDescent="0.3">
      <c r="B84" s="30"/>
      <c r="C84" s="30"/>
      <c r="D84" s="30"/>
      <c r="E84" s="30"/>
      <c r="F84" s="30"/>
      <c r="G84" s="30"/>
      <c r="H84" s="30"/>
      <c r="I84" s="30"/>
      <c r="J84" s="30"/>
      <c r="K84" s="30"/>
      <c r="L84" s="30"/>
      <c r="M84" s="30"/>
      <c r="N84" s="30"/>
      <c r="O84" s="30"/>
    </row>
    <row r="85" spans="2:15" x14ac:dyDescent="0.3">
      <c r="B85" s="30"/>
      <c r="C85" s="30"/>
      <c r="D85" s="30"/>
      <c r="E85" s="30"/>
      <c r="F85" s="30"/>
      <c r="G85" s="30"/>
      <c r="H85" s="30"/>
      <c r="I85" s="30"/>
      <c r="J85" s="30"/>
      <c r="K85" s="30"/>
      <c r="L85" s="30"/>
      <c r="M85" s="30"/>
      <c r="N85" s="30"/>
      <c r="O85" s="30"/>
    </row>
    <row r="86" spans="2:15" x14ac:dyDescent="0.3">
      <c r="B86" s="30"/>
      <c r="C86" s="30"/>
      <c r="D86" s="30"/>
      <c r="E86" s="30"/>
      <c r="F86" s="30"/>
      <c r="G86" s="30"/>
      <c r="H86" s="30"/>
      <c r="I86" s="30"/>
      <c r="J86" s="30"/>
      <c r="K86" s="30"/>
      <c r="L86" s="30"/>
      <c r="M86" s="30"/>
      <c r="N86" s="30"/>
      <c r="O86" s="30"/>
    </row>
    <row r="87" spans="2:15" x14ac:dyDescent="0.3">
      <c r="B87" s="30"/>
      <c r="C87" s="30"/>
      <c r="D87" s="30"/>
      <c r="E87" s="30"/>
      <c r="F87" s="30"/>
      <c r="G87" s="30"/>
      <c r="H87" s="30"/>
      <c r="I87" s="30"/>
      <c r="J87" s="30"/>
      <c r="K87" s="30"/>
      <c r="L87" s="30"/>
      <c r="M87" s="30"/>
      <c r="N87" s="30"/>
      <c r="O87" s="30"/>
    </row>
    <row r="88" spans="2:15" x14ac:dyDescent="0.3">
      <c r="B88" s="30"/>
      <c r="C88" s="30"/>
      <c r="D88" s="30"/>
      <c r="E88" s="30"/>
      <c r="F88" s="30"/>
      <c r="G88" s="30"/>
      <c r="H88" s="30"/>
      <c r="I88" s="30"/>
      <c r="J88" s="30"/>
      <c r="K88" s="30"/>
      <c r="L88" s="30"/>
      <c r="M88" s="30"/>
      <c r="N88" s="30"/>
      <c r="O88" s="30"/>
    </row>
    <row r="89" spans="2:15" x14ac:dyDescent="0.3">
      <c r="B89" s="30"/>
      <c r="C89" s="30"/>
      <c r="D89" s="30"/>
      <c r="E89" s="30"/>
      <c r="F89" s="30"/>
      <c r="G89" s="30"/>
      <c r="H89" s="30"/>
      <c r="I89" s="30"/>
      <c r="J89" s="30"/>
      <c r="K89" s="30"/>
      <c r="L89" s="30"/>
      <c r="M89" s="30"/>
      <c r="N89" s="30"/>
      <c r="O89" s="30"/>
    </row>
    <row r="90" spans="2:15" x14ac:dyDescent="0.3">
      <c r="B90" s="30"/>
      <c r="C90" s="30"/>
      <c r="D90" s="30"/>
      <c r="E90" s="30"/>
      <c r="F90" s="30"/>
      <c r="G90" s="30"/>
      <c r="H90" s="30"/>
      <c r="I90" s="30"/>
      <c r="J90" s="30"/>
      <c r="K90" s="30"/>
      <c r="L90" s="30"/>
      <c r="M90" s="30"/>
      <c r="N90" s="30"/>
      <c r="O90" s="30"/>
    </row>
    <row r="91" spans="2:15" x14ac:dyDescent="0.3">
      <c r="B91" s="30"/>
      <c r="C91" s="30"/>
      <c r="D91" s="30"/>
      <c r="E91" s="30"/>
      <c r="F91" s="30"/>
      <c r="G91" s="30"/>
      <c r="H91" s="30"/>
      <c r="I91" s="30"/>
      <c r="J91" s="30"/>
      <c r="K91" s="30"/>
      <c r="L91" s="30"/>
      <c r="M91" s="30"/>
      <c r="N91" s="30"/>
      <c r="O91" s="30"/>
    </row>
    <row r="92" spans="2:15" x14ac:dyDescent="0.3">
      <c r="B92" s="30"/>
      <c r="C92" s="30"/>
      <c r="D92" s="30"/>
      <c r="E92" s="30"/>
      <c r="F92" s="30"/>
      <c r="G92" s="30"/>
      <c r="H92" s="30"/>
      <c r="I92" s="30"/>
      <c r="J92" s="30"/>
      <c r="K92" s="30"/>
      <c r="L92" s="30"/>
      <c r="M92" s="30"/>
      <c r="N92" s="30"/>
      <c r="O92" s="30"/>
    </row>
    <row r="93" spans="2:15" x14ac:dyDescent="0.3">
      <c r="B93" s="30"/>
      <c r="C93" s="30"/>
      <c r="D93" s="30"/>
      <c r="E93" s="30"/>
      <c r="F93" s="30"/>
      <c r="G93" s="30"/>
      <c r="H93" s="30"/>
      <c r="I93" s="30"/>
      <c r="J93" s="30"/>
      <c r="K93" s="30"/>
      <c r="L93" s="30"/>
      <c r="M93" s="30"/>
      <c r="N93" s="30"/>
      <c r="O93" s="30"/>
    </row>
    <row r="94" spans="2:15" x14ac:dyDescent="0.3">
      <c r="B94" s="30"/>
      <c r="C94" s="30"/>
      <c r="D94" s="30"/>
      <c r="E94" s="30"/>
      <c r="F94" s="30"/>
      <c r="G94" s="30"/>
      <c r="H94" s="30"/>
      <c r="I94" s="30"/>
      <c r="J94" s="30"/>
      <c r="K94" s="30"/>
      <c r="L94" s="30"/>
      <c r="M94" s="30"/>
      <c r="N94" s="30"/>
      <c r="O94" s="30"/>
    </row>
    <row r="95" spans="2:15" x14ac:dyDescent="0.3">
      <c r="B95" s="30"/>
      <c r="C95" s="30"/>
      <c r="D95" s="30"/>
      <c r="E95" s="30"/>
      <c r="F95" s="30"/>
      <c r="G95" s="30"/>
      <c r="H95" s="30"/>
      <c r="I95" s="30"/>
      <c r="J95" s="30"/>
      <c r="K95" s="30"/>
      <c r="L95" s="30"/>
      <c r="M95" s="30"/>
      <c r="N95" s="30"/>
      <c r="O95" s="30"/>
    </row>
    <row r="96" spans="2:15" x14ac:dyDescent="0.3">
      <c r="B96" s="30"/>
      <c r="C96" s="30"/>
      <c r="D96" s="30"/>
      <c r="E96" s="30"/>
      <c r="F96" s="30"/>
      <c r="G96" s="30"/>
      <c r="H96" s="30"/>
      <c r="I96" s="30"/>
      <c r="J96" s="30"/>
      <c r="K96" s="30"/>
      <c r="L96" s="30"/>
      <c r="M96" s="30"/>
      <c r="N96" s="30"/>
      <c r="O96" s="30"/>
    </row>
    <row r="97" spans="2:15" x14ac:dyDescent="0.3">
      <c r="B97" s="30"/>
      <c r="C97" s="30"/>
      <c r="D97" s="30"/>
      <c r="E97" s="30"/>
      <c r="F97" s="30"/>
      <c r="G97" s="30"/>
      <c r="H97" s="30"/>
      <c r="I97" s="30"/>
      <c r="J97" s="30"/>
      <c r="K97" s="30"/>
      <c r="L97" s="30"/>
      <c r="M97" s="30"/>
      <c r="N97" s="30"/>
      <c r="O97" s="30"/>
    </row>
    <row r="98" spans="2:15" x14ac:dyDescent="0.3">
      <c r="B98" s="30"/>
      <c r="C98" s="30"/>
      <c r="D98" s="30"/>
      <c r="E98" s="30"/>
      <c r="F98" s="30"/>
      <c r="G98" s="30"/>
      <c r="H98" s="30"/>
      <c r="I98" s="30"/>
      <c r="J98" s="30"/>
      <c r="K98" s="30"/>
      <c r="L98" s="30"/>
      <c r="M98" s="30"/>
      <c r="N98" s="30"/>
      <c r="O98" s="30"/>
    </row>
    <row r="99" spans="2:15" x14ac:dyDescent="0.3">
      <c r="B99" s="30"/>
      <c r="C99" s="30"/>
      <c r="D99" s="30"/>
      <c r="E99" s="30"/>
      <c r="F99" s="30"/>
      <c r="G99" s="30"/>
      <c r="H99" s="30"/>
      <c r="I99" s="30"/>
      <c r="J99" s="30"/>
      <c r="K99" s="30"/>
      <c r="L99" s="30"/>
      <c r="M99" s="30"/>
      <c r="N99" s="30"/>
      <c r="O99" s="30"/>
    </row>
    <row r="100" spans="2:15" x14ac:dyDescent="0.3">
      <c r="B100" s="30"/>
      <c r="C100" s="30"/>
      <c r="D100" s="30"/>
      <c r="E100" s="30"/>
      <c r="F100" s="30"/>
      <c r="G100" s="30"/>
      <c r="H100" s="30"/>
      <c r="I100" s="30"/>
      <c r="J100" s="30"/>
      <c r="K100" s="30"/>
      <c r="L100" s="30"/>
      <c r="M100" s="30"/>
      <c r="N100" s="30"/>
      <c r="O100" s="30"/>
    </row>
    <row r="101" spans="2:15" x14ac:dyDescent="0.3">
      <c r="B101" s="30"/>
      <c r="C101" s="30"/>
      <c r="D101" s="30"/>
      <c r="E101" s="30"/>
      <c r="F101" s="30"/>
      <c r="G101" s="30"/>
      <c r="H101" s="30"/>
      <c r="I101" s="30"/>
      <c r="J101" s="30"/>
      <c r="K101" s="30"/>
      <c r="L101" s="30"/>
      <c r="M101" s="30"/>
      <c r="N101" s="30"/>
      <c r="O101" s="30"/>
    </row>
    <row r="102" spans="2:15" x14ac:dyDescent="0.3">
      <c r="B102" s="30"/>
      <c r="C102" s="30"/>
      <c r="D102" s="30"/>
      <c r="E102" s="30"/>
      <c r="F102" s="30"/>
      <c r="G102" s="30"/>
      <c r="H102" s="30"/>
      <c r="I102" s="30"/>
      <c r="J102" s="30"/>
      <c r="K102" s="30"/>
      <c r="L102" s="30"/>
      <c r="M102" s="30"/>
      <c r="N102" s="30"/>
      <c r="O102" s="30"/>
    </row>
    <row r="103" spans="2:15" x14ac:dyDescent="0.3">
      <c r="B103" s="30"/>
      <c r="C103" s="30"/>
      <c r="D103" s="30"/>
      <c r="E103" s="30"/>
      <c r="F103" s="30"/>
      <c r="G103" s="30"/>
      <c r="H103" s="30"/>
      <c r="I103" s="30"/>
      <c r="J103" s="30"/>
      <c r="K103" s="30"/>
      <c r="L103" s="30"/>
      <c r="M103" s="30"/>
      <c r="N103" s="30"/>
      <c r="O103" s="30"/>
    </row>
    <row r="104" spans="2:15" x14ac:dyDescent="0.3">
      <c r="B104" s="30"/>
      <c r="C104" s="30"/>
      <c r="D104" s="30"/>
      <c r="E104" s="30"/>
      <c r="F104" s="30"/>
      <c r="G104" s="30"/>
      <c r="H104" s="30"/>
      <c r="I104" s="30"/>
      <c r="J104" s="30"/>
      <c r="K104" s="30"/>
      <c r="L104" s="30"/>
      <c r="M104" s="30"/>
      <c r="N104" s="30"/>
      <c r="O104" s="30"/>
    </row>
    <row r="105" spans="2:15" x14ac:dyDescent="0.3">
      <c r="B105" s="30"/>
      <c r="C105" s="30"/>
      <c r="D105" s="30"/>
      <c r="E105" s="30"/>
      <c r="F105" s="30"/>
      <c r="G105" s="30"/>
      <c r="H105" s="30"/>
      <c r="I105" s="30"/>
      <c r="J105" s="30"/>
      <c r="K105" s="30"/>
      <c r="L105" s="30"/>
      <c r="M105" s="30"/>
      <c r="N105" s="30"/>
      <c r="O105" s="30"/>
    </row>
    <row r="106" spans="2:15" x14ac:dyDescent="0.3">
      <c r="B106" s="30"/>
      <c r="C106" s="30"/>
      <c r="D106" s="30"/>
      <c r="E106" s="30"/>
      <c r="F106" s="30"/>
      <c r="G106" s="30"/>
      <c r="H106" s="30"/>
      <c r="I106" s="30"/>
      <c r="J106" s="30"/>
      <c r="K106" s="30"/>
      <c r="L106" s="30"/>
      <c r="M106" s="30"/>
      <c r="N106" s="30"/>
      <c r="O106" s="30"/>
    </row>
    <row r="107" spans="2:15" x14ac:dyDescent="0.3">
      <c r="B107" s="30"/>
      <c r="C107" s="30"/>
      <c r="D107" s="30"/>
      <c r="E107" s="30"/>
      <c r="F107" s="30"/>
      <c r="G107" s="30"/>
      <c r="H107" s="30"/>
      <c r="I107" s="30"/>
      <c r="J107" s="30"/>
      <c r="K107" s="30"/>
      <c r="L107" s="30"/>
      <c r="M107" s="30"/>
      <c r="N107" s="30"/>
      <c r="O107" s="30"/>
    </row>
    <row r="108" spans="2:15" x14ac:dyDescent="0.3">
      <c r="B108" s="30"/>
      <c r="C108" s="30"/>
      <c r="D108" s="30"/>
      <c r="E108" s="30"/>
      <c r="F108" s="30"/>
      <c r="G108" s="30"/>
      <c r="H108" s="30"/>
      <c r="I108" s="30"/>
      <c r="J108" s="30"/>
      <c r="K108" s="30"/>
      <c r="L108" s="30"/>
      <c r="M108" s="30"/>
      <c r="N108" s="30"/>
      <c r="O108" s="30"/>
    </row>
    <row r="109" spans="2:15" x14ac:dyDescent="0.3">
      <c r="B109" s="30"/>
      <c r="C109" s="30"/>
      <c r="D109" s="30"/>
      <c r="E109" s="30"/>
      <c r="F109" s="30"/>
      <c r="G109" s="30"/>
      <c r="H109" s="30"/>
      <c r="I109" s="30"/>
      <c r="J109" s="30"/>
      <c r="K109" s="30"/>
      <c r="L109" s="30"/>
      <c r="M109" s="30"/>
      <c r="N109" s="30"/>
      <c r="O109" s="30"/>
    </row>
    <row r="110" spans="2:15" x14ac:dyDescent="0.3">
      <c r="B110" s="30"/>
      <c r="C110" s="30"/>
      <c r="D110" s="30"/>
      <c r="E110" s="30"/>
      <c r="F110" s="30"/>
      <c r="G110" s="30"/>
      <c r="H110" s="30"/>
      <c r="I110" s="30"/>
      <c r="J110" s="30"/>
      <c r="K110" s="30"/>
      <c r="L110" s="30"/>
      <c r="M110" s="30"/>
      <c r="N110" s="30"/>
      <c r="O110" s="30"/>
    </row>
    <row r="111" spans="2:15" x14ac:dyDescent="0.3">
      <c r="B111" s="30"/>
      <c r="C111" s="30"/>
      <c r="D111" s="30"/>
      <c r="E111" s="30"/>
      <c r="F111" s="30"/>
      <c r="G111" s="30"/>
      <c r="H111" s="30"/>
      <c r="I111" s="30"/>
      <c r="J111" s="30"/>
      <c r="K111" s="30"/>
      <c r="L111" s="30"/>
      <c r="M111" s="30"/>
      <c r="N111" s="30"/>
      <c r="O111" s="30"/>
    </row>
    <row r="112" spans="2:15" x14ac:dyDescent="0.3">
      <c r="B112" s="30"/>
      <c r="C112" s="30"/>
      <c r="D112" s="30"/>
      <c r="E112" s="30"/>
      <c r="F112" s="30"/>
      <c r="G112" s="30"/>
      <c r="H112" s="30"/>
      <c r="I112" s="30"/>
      <c r="J112" s="30"/>
      <c r="K112" s="30"/>
      <c r="L112" s="30"/>
      <c r="M112" s="30"/>
      <c r="N112" s="30"/>
      <c r="O112" s="30"/>
    </row>
    <row r="113" spans="2:15" x14ac:dyDescent="0.3">
      <c r="B113" s="30"/>
      <c r="C113" s="30"/>
      <c r="D113" s="30"/>
      <c r="E113" s="30"/>
      <c r="F113" s="30"/>
      <c r="G113" s="30"/>
      <c r="H113" s="30"/>
      <c r="I113" s="30"/>
      <c r="J113" s="30"/>
      <c r="K113" s="30"/>
      <c r="L113" s="30"/>
      <c r="M113" s="30"/>
      <c r="N113" s="30"/>
      <c r="O113" s="30"/>
    </row>
    <row r="114" spans="2:15" x14ac:dyDescent="0.3">
      <c r="B114" s="30"/>
      <c r="C114" s="30"/>
      <c r="D114" s="30"/>
      <c r="E114" s="30"/>
      <c r="F114" s="30"/>
      <c r="G114" s="30"/>
      <c r="H114" s="30"/>
      <c r="I114" s="30"/>
      <c r="J114" s="30"/>
      <c r="K114" s="30"/>
      <c r="L114" s="30"/>
      <c r="M114" s="30"/>
      <c r="N114" s="30"/>
      <c r="O114" s="30"/>
    </row>
    <row r="115" spans="2:15" x14ac:dyDescent="0.3">
      <c r="B115" s="30"/>
      <c r="C115" s="30"/>
      <c r="D115" s="30"/>
      <c r="E115" s="30"/>
      <c r="F115" s="30"/>
      <c r="G115" s="30"/>
      <c r="H115" s="30"/>
      <c r="I115" s="30"/>
      <c r="J115" s="30"/>
      <c r="K115" s="30"/>
      <c r="L115" s="30"/>
      <c r="M115" s="30"/>
      <c r="N115" s="30"/>
      <c r="O115" s="30"/>
    </row>
    <row r="116" spans="2:15" x14ac:dyDescent="0.3">
      <c r="B116" s="30"/>
      <c r="C116" s="30"/>
      <c r="D116" s="30"/>
      <c r="E116" s="30"/>
      <c r="F116" s="30"/>
      <c r="G116" s="30"/>
      <c r="H116" s="30"/>
      <c r="I116" s="30"/>
      <c r="J116" s="30"/>
      <c r="K116" s="30"/>
      <c r="L116" s="30"/>
      <c r="M116" s="30"/>
      <c r="N116" s="30"/>
      <c r="O116" s="30"/>
    </row>
    <row r="117" spans="2:15" x14ac:dyDescent="0.3">
      <c r="B117" s="30"/>
      <c r="C117" s="30"/>
      <c r="D117" s="30"/>
      <c r="E117" s="30"/>
      <c r="F117" s="30"/>
      <c r="G117" s="30"/>
      <c r="H117" s="30"/>
      <c r="I117" s="30"/>
      <c r="J117" s="30"/>
      <c r="K117" s="30"/>
      <c r="L117" s="30"/>
      <c r="M117" s="30"/>
      <c r="N117" s="30"/>
      <c r="O117" s="30"/>
    </row>
    <row r="118" spans="2:15" x14ac:dyDescent="0.3">
      <c r="B118" s="30"/>
      <c r="C118" s="30"/>
      <c r="D118" s="30"/>
      <c r="E118" s="30"/>
      <c r="F118" s="30"/>
      <c r="G118" s="30"/>
      <c r="H118" s="30"/>
      <c r="I118" s="30"/>
      <c r="J118" s="30"/>
      <c r="K118" s="30"/>
      <c r="L118" s="30"/>
      <c r="M118" s="30"/>
      <c r="N118" s="30"/>
      <c r="O118" s="30"/>
    </row>
    <row r="119" spans="2:15" x14ac:dyDescent="0.3">
      <c r="B119" s="30"/>
      <c r="C119" s="30"/>
      <c r="D119" s="30"/>
      <c r="E119" s="30"/>
      <c r="F119" s="30"/>
      <c r="G119" s="30"/>
      <c r="H119" s="30"/>
      <c r="I119" s="30"/>
      <c r="J119" s="30"/>
      <c r="K119" s="30"/>
      <c r="L119" s="30"/>
      <c r="M119" s="30"/>
      <c r="N119" s="30"/>
      <c r="O119" s="30"/>
    </row>
    <row r="120" spans="2:15" x14ac:dyDescent="0.3">
      <c r="B120" s="30"/>
      <c r="C120" s="30"/>
      <c r="D120" s="30"/>
      <c r="E120" s="30"/>
      <c r="F120" s="30"/>
      <c r="G120" s="30"/>
      <c r="H120" s="30"/>
      <c r="I120" s="30"/>
      <c r="J120" s="30"/>
      <c r="K120" s="30"/>
      <c r="L120" s="30"/>
      <c r="M120" s="30"/>
      <c r="N120" s="30"/>
      <c r="O120" s="30"/>
    </row>
    <row r="121" spans="2:15" x14ac:dyDescent="0.3">
      <c r="B121" s="30"/>
      <c r="C121" s="30"/>
      <c r="D121" s="30"/>
      <c r="E121" s="30"/>
      <c r="F121" s="30"/>
      <c r="G121" s="30"/>
      <c r="H121" s="30"/>
      <c r="I121" s="30"/>
      <c r="J121" s="30"/>
      <c r="K121" s="30"/>
      <c r="L121" s="30"/>
      <c r="M121" s="30"/>
      <c r="N121" s="30"/>
      <c r="O121" s="30"/>
    </row>
    <row r="122" spans="2:15" x14ac:dyDescent="0.3">
      <c r="B122" s="30"/>
      <c r="C122" s="30"/>
      <c r="D122" s="30"/>
      <c r="E122" s="30"/>
      <c r="F122" s="30"/>
      <c r="G122" s="30"/>
      <c r="H122" s="30"/>
      <c r="I122" s="30"/>
      <c r="J122" s="30"/>
      <c r="K122" s="30"/>
      <c r="L122" s="30"/>
      <c r="M122" s="30"/>
      <c r="N122" s="30"/>
      <c r="O122" s="30"/>
    </row>
    <row r="123" spans="2:15" x14ac:dyDescent="0.3">
      <c r="B123" s="30"/>
      <c r="C123" s="30"/>
      <c r="D123" s="30"/>
      <c r="E123" s="30"/>
      <c r="F123" s="30"/>
      <c r="G123" s="30"/>
      <c r="H123" s="30"/>
      <c r="I123" s="30"/>
      <c r="J123" s="30"/>
      <c r="K123" s="30"/>
      <c r="L123" s="30"/>
      <c r="M123" s="30"/>
      <c r="N123" s="30"/>
      <c r="O123" s="30"/>
    </row>
    <row r="124" spans="2:15" x14ac:dyDescent="0.3">
      <c r="B124" s="30"/>
      <c r="C124" s="30"/>
      <c r="D124" s="30"/>
      <c r="E124" s="30"/>
      <c r="F124" s="30"/>
      <c r="G124" s="30"/>
      <c r="H124" s="30"/>
      <c r="I124" s="30"/>
      <c r="J124" s="30"/>
      <c r="K124" s="30"/>
      <c r="L124" s="30"/>
      <c r="M124" s="30"/>
      <c r="N124" s="30"/>
      <c r="O124" s="30"/>
    </row>
    <row r="125" spans="2:15" x14ac:dyDescent="0.3">
      <c r="B125" s="30"/>
      <c r="C125" s="30"/>
      <c r="D125" s="30"/>
      <c r="E125" s="30"/>
      <c r="F125" s="30"/>
      <c r="G125" s="30"/>
      <c r="H125" s="30"/>
      <c r="I125" s="30"/>
      <c r="J125" s="30"/>
      <c r="K125" s="30"/>
      <c r="L125" s="30"/>
      <c r="M125" s="30"/>
      <c r="N125" s="30"/>
      <c r="O125" s="30"/>
    </row>
    <row r="126" spans="2:15" x14ac:dyDescent="0.3">
      <c r="B126" s="30"/>
      <c r="C126" s="30"/>
      <c r="D126" s="30"/>
      <c r="E126" s="30"/>
      <c r="F126" s="30"/>
      <c r="G126" s="30"/>
      <c r="H126" s="30"/>
      <c r="I126" s="30"/>
      <c r="J126" s="30"/>
      <c r="K126" s="30"/>
      <c r="L126" s="30"/>
      <c r="M126" s="30"/>
      <c r="N126" s="30"/>
      <c r="O126" s="30"/>
    </row>
    <row r="127" spans="2:15" x14ac:dyDescent="0.3">
      <c r="B127" s="30"/>
      <c r="C127" s="30"/>
      <c r="D127" s="30"/>
      <c r="E127" s="30"/>
      <c r="F127" s="30"/>
      <c r="G127" s="30"/>
      <c r="H127" s="30"/>
      <c r="I127" s="30"/>
      <c r="J127" s="30"/>
      <c r="K127" s="30"/>
      <c r="L127" s="30"/>
      <c r="M127" s="30"/>
      <c r="N127" s="30"/>
      <c r="O127" s="30"/>
    </row>
    <row r="128" spans="2:15" x14ac:dyDescent="0.3">
      <c r="B128" s="30"/>
      <c r="C128" s="30"/>
      <c r="D128" s="30"/>
      <c r="E128" s="30"/>
      <c r="F128" s="30"/>
      <c r="G128" s="30"/>
      <c r="H128" s="30"/>
      <c r="I128" s="30"/>
      <c r="J128" s="30"/>
      <c r="K128" s="30"/>
      <c r="L128" s="30"/>
      <c r="M128" s="30"/>
      <c r="N128" s="30"/>
      <c r="O128" s="30"/>
    </row>
    <row r="129" spans="2:15" x14ac:dyDescent="0.3">
      <c r="B129" s="30"/>
      <c r="C129" s="30"/>
      <c r="D129" s="30"/>
      <c r="E129" s="30"/>
      <c r="F129" s="30"/>
      <c r="G129" s="30"/>
      <c r="H129" s="30"/>
      <c r="I129" s="30"/>
      <c r="J129" s="30"/>
      <c r="K129" s="30"/>
      <c r="L129" s="30"/>
      <c r="M129" s="30"/>
      <c r="N129" s="30"/>
      <c r="O129" s="30"/>
    </row>
    <row r="130" spans="2:15" x14ac:dyDescent="0.3">
      <c r="B130" s="30"/>
      <c r="C130" s="30"/>
      <c r="D130" s="30"/>
      <c r="E130" s="30"/>
      <c r="F130" s="30"/>
      <c r="G130" s="30"/>
      <c r="H130" s="30"/>
      <c r="I130" s="30"/>
      <c r="J130" s="30"/>
      <c r="K130" s="30"/>
      <c r="L130" s="30"/>
      <c r="M130" s="30"/>
      <c r="N130" s="30"/>
      <c r="O130" s="30"/>
    </row>
    <row r="131" spans="2:15" x14ac:dyDescent="0.3">
      <c r="B131" s="30"/>
      <c r="C131" s="30"/>
      <c r="D131" s="30"/>
      <c r="E131" s="30"/>
      <c r="F131" s="30"/>
      <c r="G131" s="30"/>
      <c r="H131" s="30"/>
      <c r="I131" s="30"/>
      <c r="J131" s="30"/>
      <c r="K131" s="30"/>
      <c r="L131" s="30"/>
      <c r="M131" s="30"/>
      <c r="N131" s="30"/>
      <c r="O131" s="30"/>
    </row>
    <row r="132" spans="2:15" x14ac:dyDescent="0.3">
      <c r="B132" s="30"/>
      <c r="C132" s="30"/>
      <c r="D132" s="30"/>
      <c r="E132" s="30"/>
      <c r="F132" s="30"/>
      <c r="G132" s="30"/>
      <c r="H132" s="30"/>
      <c r="I132" s="30"/>
      <c r="J132" s="30"/>
      <c r="K132" s="30"/>
      <c r="L132" s="30"/>
      <c r="M132" s="30"/>
      <c r="N132" s="30"/>
      <c r="O132" s="30"/>
    </row>
    <row r="133" spans="2:15" x14ac:dyDescent="0.3">
      <c r="B133" s="30"/>
      <c r="C133" s="30"/>
      <c r="D133" s="30"/>
      <c r="E133" s="30"/>
      <c r="F133" s="30"/>
      <c r="G133" s="30"/>
      <c r="H133" s="30"/>
      <c r="I133" s="30"/>
      <c r="J133" s="30"/>
      <c r="K133" s="30"/>
      <c r="L133" s="30"/>
      <c r="M133" s="30"/>
      <c r="N133" s="30"/>
      <c r="O133" s="30"/>
    </row>
    <row r="134" spans="2:15" x14ac:dyDescent="0.3">
      <c r="B134" s="30"/>
      <c r="C134" s="30"/>
      <c r="D134" s="30"/>
      <c r="E134" s="30"/>
      <c r="F134" s="30"/>
      <c r="G134" s="30"/>
      <c r="H134" s="30"/>
      <c r="I134" s="30"/>
      <c r="J134" s="30"/>
      <c r="K134" s="30"/>
      <c r="L134" s="30"/>
      <c r="M134" s="30"/>
      <c r="N134" s="30"/>
      <c r="O134" s="30"/>
    </row>
    <row r="135" spans="2:15" x14ac:dyDescent="0.3">
      <c r="B135" s="30"/>
      <c r="C135" s="30"/>
      <c r="D135" s="30"/>
      <c r="E135" s="30"/>
      <c r="F135" s="30"/>
      <c r="G135" s="30"/>
      <c r="H135" s="30"/>
      <c r="I135" s="30"/>
      <c r="J135" s="30"/>
      <c r="K135" s="30"/>
      <c r="L135" s="30"/>
      <c r="M135" s="30"/>
      <c r="N135" s="30"/>
      <c r="O135" s="30"/>
    </row>
    <row r="136" spans="2:15" x14ac:dyDescent="0.3">
      <c r="B136" s="30"/>
      <c r="C136" s="30"/>
      <c r="D136" s="30"/>
      <c r="E136" s="30"/>
      <c r="F136" s="30"/>
      <c r="G136" s="30"/>
      <c r="H136" s="30"/>
      <c r="I136" s="30"/>
      <c r="J136" s="30"/>
      <c r="K136" s="30"/>
      <c r="L136" s="30"/>
      <c r="M136" s="30"/>
      <c r="N136" s="30"/>
      <c r="O136" s="30"/>
    </row>
    <row r="137" spans="2:15" x14ac:dyDescent="0.3">
      <c r="B137" s="30"/>
      <c r="C137" s="30"/>
      <c r="D137" s="30"/>
      <c r="E137" s="30"/>
      <c r="F137" s="30"/>
      <c r="G137" s="30"/>
      <c r="H137" s="30"/>
      <c r="I137" s="30"/>
      <c r="J137" s="30"/>
      <c r="K137" s="30"/>
      <c r="L137" s="30"/>
      <c r="M137" s="30"/>
      <c r="N137" s="30"/>
      <c r="O137" s="30"/>
    </row>
    <row r="138" spans="2:15" x14ac:dyDescent="0.3">
      <c r="B138" s="30"/>
      <c r="C138" s="30"/>
      <c r="D138" s="30"/>
      <c r="E138" s="30"/>
      <c r="F138" s="30"/>
      <c r="G138" s="30"/>
      <c r="H138" s="30"/>
      <c r="I138" s="30"/>
      <c r="J138" s="30"/>
      <c r="K138" s="30"/>
      <c r="L138" s="30"/>
      <c r="M138" s="30"/>
      <c r="N138" s="30"/>
      <c r="O138" s="30"/>
    </row>
    <row r="139" spans="2:15" x14ac:dyDescent="0.3">
      <c r="B139" s="30"/>
      <c r="C139" s="30"/>
      <c r="D139" s="30"/>
      <c r="E139" s="30"/>
      <c r="F139" s="30"/>
      <c r="G139" s="30"/>
      <c r="H139" s="30"/>
      <c r="I139" s="30"/>
      <c r="J139" s="30"/>
      <c r="K139" s="30"/>
      <c r="L139" s="30"/>
      <c r="M139" s="30"/>
      <c r="N139" s="30"/>
      <c r="O139" s="30"/>
    </row>
    <row r="140" spans="2:15" x14ac:dyDescent="0.3">
      <c r="B140" s="30"/>
      <c r="C140" s="30"/>
      <c r="D140" s="30"/>
      <c r="E140" s="30"/>
      <c r="F140" s="30"/>
      <c r="G140" s="30"/>
      <c r="H140" s="30"/>
      <c r="I140" s="30"/>
      <c r="J140" s="30"/>
      <c r="K140" s="30"/>
      <c r="L140" s="30"/>
      <c r="M140" s="30"/>
      <c r="N140" s="30"/>
      <c r="O140" s="30"/>
    </row>
    <row r="141" spans="2:15" x14ac:dyDescent="0.3">
      <c r="B141" s="30"/>
      <c r="C141" s="30"/>
      <c r="D141" s="30"/>
      <c r="E141" s="30"/>
      <c r="F141" s="30"/>
      <c r="G141" s="30"/>
      <c r="H141" s="30"/>
      <c r="I141" s="30"/>
      <c r="J141" s="30"/>
      <c r="K141" s="30"/>
      <c r="L141" s="30"/>
      <c r="M141" s="30"/>
      <c r="N141" s="30"/>
      <c r="O141" s="30"/>
    </row>
    <row r="142" spans="2:15" x14ac:dyDescent="0.3">
      <c r="B142" s="30"/>
      <c r="C142" s="30"/>
      <c r="D142" s="30"/>
      <c r="E142" s="30"/>
      <c r="F142" s="30"/>
      <c r="G142" s="30"/>
      <c r="H142" s="30"/>
      <c r="I142" s="30"/>
      <c r="J142" s="30"/>
      <c r="K142" s="30"/>
      <c r="L142" s="30"/>
      <c r="M142" s="30"/>
      <c r="N142" s="30"/>
      <c r="O142" s="30"/>
    </row>
    <row r="143" spans="2:15" x14ac:dyDescent="0.3">
      <c r="B143" s="30"/>
      <c r="C143" s="30"/>
      <c r="D143" s="30"/>
      <c r="E143" s="30"/>
      <c r="F143" s="30"/>
      <c r="G143" s="30"/>
      <c r="H143" s="30"/>
      <c r="I143" s="30"/>
      <c r="J143" s="30"/>
      <c r="K143" s="30"/>
      <c r="L143" s="30"/>
      <c r="M143" s="30"/>
      <c r="N143" s="30"/>
      <c r="O143" s="30"/>
    </row>
    <row r="144" spans="2:15" x14ac:dyDescent="0.3">
      <c r="B144" s="30"/>
      <c r="C144" s="30"/>
      <c r="D144" s="30"/>
      <c r="E144" s="30"/>
      <c r="F144" s="30"/>
      <c r="G144" s="30"/>
      <c r="H144" s="30"/>
      <c r="I144" s="30"/>
      <c r="J144" s="30"/>
      <c r="K144" s="30"/>
      <c r="L144" s="30"/>
      <c r="M144" s="30"/>
      <c r="N144" s="30"/>
      <c r="O144" s="30"/>
    </row>
    <row r="145" spans="2:15" x14ac:dyDescent="0.3">
      <c r="B145" s="30"/>
      <c r="C145" s="30"/>
      <c r="D145" s="30"/>
      <c r="E145" s="30"/>
      <c r="F145" s="30"/>
      <c r="G145" s="30"/>
      <c r="H145" s="30"/>
      <c r="I145" s="30"/>
      <c r="J145" s="30"/>
      <c r="K145" s="30"/>
      <c r="L145" s="30"/>
      <c r="M145" s="30"/>
      <c r="N145" s="30"/>
      <c r="O145" s="30"/>
    </row>
    <row r="146" spans="2:15" x14ac:dyDescent="0.3">
      <c r="B146" s="30"/>
      <c r="C146" s="30"/>
      <c r="D146" s="30"/>
      <c r="E146" s="30"/>
      <c r="F146" s="30"/>
      <c r="G146" s="30"/>
      <c r="H146" s="30"/>
      <c r="I146" s="30"/>
      <c r="J146" s="30"/>
      <c r="K146" s="30"/>
      <c r="L146" s="30"/>
      <c r="M146" s="30"/>
      <c r="N146" s="30"/>
      <c r="O146" s="30"/>
    </row>
    <row r="147" spans="2:15" x14ac:dyDescent="0.3">
      <c r="B147" s="30"/>
      <c r="C147" s="30"/>
      <c r="D147" s="30"/>
      <c r="E147" s="30"/>
      <c r="F147" s="30"/>
      <c r="G147" s="30"/>
      <c r="H147" s="30"/>
      <c r="I147" s="30"/>
      <c r="J147" s="30"/>
      <c r="K147" s="30"/>
      <c r="L147" s="30"/>
      <c r="M147" s="30"/>
      <c r="N147" s="30"/>
      <c r="O147" s="30"/>
    </row>
    <row r="148" spans="2:15" x14ac:dyDescent="0.3">
      <c r="B148" s="30"/>
      <c r="C148" s="30"/>
      <c r="D148" s="30"/>
      <c r="E148" s="30"/>
      <c r="F148" s="30"/>
      <c r="G148" s="30"/>
      <c r="H148" s="30"/>
      <c r="I148" s="30"/>
      <c r="J148" s="30"/>
      <c r="K148" s="30"/>
      <c r="L148" s="30"/>
      <c r="M148" s="30"/>
      <c r="N148" s="30"/>
      <c r="O148" s="30"/>
    </row>
    <row r="149" spans="2:15" x14ac:dyDescent="0.3">
      <c r="B149" s="30"/>
      <c r="C149" s="30"/>
      <c r="D149" s="30"/>
      <c r="E149" s="30"/>
      <c r="F149" s="30"/>
      <c r="G149" s="30"/>
      <c r="H149" s="30"/>
      <c r="I149" s="30"/>
      <c r="J149" s="30"/>
      <c r="K149" s="30"/>
      <c r="L149" s="30"/>
      <c r="M149" s="30"/>
      <c r="N149" s="30"/>
      <c r="O149" s="30"/>
    </row>
    <row r="150" spans="2:15" x14ac:dyDescent="0.3">
      <c r="B150" s="30"/>
      <c r="C150" s="30"/>
      <c r="D150" s="30"/>
      <c r="E150" s="30"/>
      <c r="F150" s="30"/>
      <c r="G150" s="30"/>
      <c r="H150" s="30"/>
      <c r="I150" s="30"/>
      <c r="J150" s="30"/>
      <c r="K150" s="30"/>
      <c r="L150" s="30"/>
      <c r="M150" s="30"/>
      <c r="N150" s="30"/>
      <c r="O150" s="30"/>
    </row>
    <row r="151" spans="2:15" x14ac:dyDescent="0.3">
      <c r="B151" s="30"/>
      <c r="C151" s="30"/>
      <c r="D151" s="30"/>
      <c r="E151" s="30"/>
      <c r="F151" s="30"/>
      <c r="G151" s="30"/>
      <c r="H151" s="30"/>
      <c r="I151" s="30"/>
      <c r="J151" s="30"/>
      <c r="K151" s="30"/>
      <c r="L151" s="30"/>
      <c r="M151" s="30"/>
      <c r="N151" s="30"/>
      <c r="O151" s="30"/>
    </row>
    <row r="152" spans="2:15" x14ac:dyDescent="0.3">
      <c r="B152" s="30"/>
      <c r="C152" s="30"/>
      <c r="D152" s="30"/>
      <c r="E152" s="30"/>
      <c r="F152" s="30"/>
      <c r="G152" s="30"/>
      <c r="H152" s="30"/>
      <c r="I152" s="30"/>
      <c r="J152" s="30"/>
      <c r="K152" s="30"/>
      <c r="L152" s="30"/>
      <c r="M152" s="30"/>
      <c r="N152" s="30"/>
      <c r="O152" s="30"/>
    </row>
    <row r="153" spans="2:15" x14ac:dyDescent="0.3">
      <c r="B153" s="30"/>
      <c r="C153" s="30"/>
      <c r="D153" s="30"/>
      <c r="E153" s="30"/>
      <c r="F153" s="30"/>
      <c r="G153" s="30"/>
      <c r="H153" s="30"/>
      <c r="I153" s="30"/>
      <c r="J153" s="30"/>
      <c r="K153" s="30"/>
      <c r="L153" s="30"/>
      <c r="M153" s="30"/>
      <c r="N153" s="30"/>
      <c r="O153" s="30"/>
    </row>
    <row r="154" spans="2:15" x14ac:dyDescent="0.3">
      <c r="B154" s="30"/>
      <c r="C154" s="30"/>
      <c r="D154" s="30"/>
      <c r="E154" s="30"/>
      <c r="F154" s="30"/>
      <c r="G154" s="30"/>
      <c r="H154" s="30"/>
      <c r="I154" s="30"/>
      <c r="J154" s="30"/>
      <c r="K154" s="30"/>
      <c r="L154" s="30"/>
      <c r="M154" s="30"/>
      <c r="N154" s="30"/>
      <c r="O154" s="30"/>
    </row>
    <row r="155" spans="2:15" x14ac:dyDescent="0.3">
      <c r="B155" s="30"/>
      <c r="C155" s="30"/>
      <c r="D155" s="30"/>
      <c r="E155" s="30"/>
      <c r="F155" s="30"/>
      <c r="G155" s="30"/>
      <c r="H155" s="30"/>
      <c r="I155" s="30"/>
      <c r="J155" s="30"/>
      <c r="K155" s="30"/>
      <c r="L155" s="30"/>
      <c r="M155" s="30"/>
      <c r="N155" s="30"/>
      <c r="O155" s="30"/>
    </row>
    <row r="156" spans="2:15" x14ac:dyDescent="0.3">
      <c r="B156" s="30"/>
      <c r="C156" s="30"/>
      <c r="D156" s="30"/>
      <c r="E156" s="30"/>
      <c r="F156" s="30"/>
      <c r="G156" s="30"/>
      <c r="H156" s="30"/>
      <c r="I156" s="30"/>
      <c r="J156" s="30"/>
      <c r="K156" s="30"/>
      <c r="L156" s="30"/>
      <c r="M156" s="30"/>
      <c r="N156" s="30"/>
      <c r="O156" s="30"/>
    </row>
    <row r="157" spans="2:15" x14ac:dyDescent="0.3">
      <c r="B157" s="30"/>
      <c r="C157" s="30"/>
      <c r="D157" s="30"/>
      <c r="E157" s="30"/>
      <c r="F157" s="30"/>
      <c r="G157" s="30"/>
      <c r="H157" s="30"/>
      <c r="I157" s="30"/>
      <c r="J157" s="30"/>
      <c r="K157" s="30"/>
      <c r="L157" s="30"/>
      <c r="M157" s="30"/>
      <c r="N157" s="30"/>
      <c r="O157" s="30"/>
    </row>
    <row r="158" spans="2:15" x14ac:dyDescent="0.3">
      <c r="B158" s="30"/>
      <c r="C158" s="30"/>
      <c r="D158" s="30"/>
      <c r="E158" s="30"/>
      <c r="F158" s="30"/>
      <c r="G158" s="30"/>
      <c r="H158" s="30"/>
      <c r="I158" s="30"/>
      <c r="J158" s="30"/>
      <c r="K158" s="30"/>
      <c r="L158" s="30"/>
      <c r="M158" s="30"/>
      <c r="N158" s="30"/>
      <c r="O158" s="30"/>
    </row>
    <row r="159" spans="2:15" x14ac:dyDescent="0.3">
      <c r="B159" s="30"/>
      <c r="C159" s="30"/>
      <c r="D159" s="30"/>
      <c r="E159" s="30"/>
      <c r="F159" s="30"/>
      <c r="G159" s="30"/>
      <c r="H159" s="30"/>
      <c r="I159" s="30"/>
      <c r="J159" s="30"/>
      <c r="K159" s="30"/>
      <c r="L159" s="30"/>
      <c r="M159" s="30"/>
      <c r="N159" s="30"/>
      <c r="O159" s="30"/>
    </row>
    <row r="160" spans="2:15" x14ac:dyDescent="0.3">
      <c r="B160" s="30"/>
      <c r="C160" s="30"/>
      <c r="D160" s="30"/>
      <c r="E160" s="30"/>
      <c r="F160" s="30"/>
      <c r="G160" s="30"/>
      <c r="H160" s="30"/>
      <c r="I160" s="30"/>
      <c r="J160" s="30"/>
      <c r="K160" s="30"/>
      <c r="L160" s="30"/>
      <c r="M160" s="30"/>
      <c r="N160" s="30"/>
      <c r="O160" s="30"/>
    </row>
    <row r="161" spans="2:15" x14ac:dyDescent="0.3">
      <c r="B161" s="30"/>
      <c r="C161" s="30"/>
      <c r="D161" s="30"/>
      <c r="E161" s="30"/>
      <c r="F161" s="30"/>
      <c r="G161" s="30"/>
      <c r="H161" s="30"/>
      <c r="I161" s="30"/>
      <c r="J161" s="30"/>
      <c r="K161" s="30"/>
      <c r="L161" s="30"/>
      <c r="M161" s="30"/>
      <c r="N161" s="30"/>
      <c r="O161" s="30"/>
    </row>
    <row r="162" spans="2:15" x14ac:dyDescent="0.3">
      <c r="B162" s="30"/>
      <c r="C162" s="30"/>
      <c r="D162" s="30"/>
      <c r="E162" s="30"/>
      <c r="F162" s="30"/>
      <c r="G162" s="30"/>
      <c r="H162" s="30"/>
      <c r="I162" s="30"/>
      <c r="J162" s="30"/>
      <c r="K162" s="30"/>
      <c r="L162" s="30"/>
      <c r="M162" s="30"/>
      <c r="N162" s="30"/>
      <c r="O162" s="30"/>
    </row>
    <row r="163" spans="2:15" x14ac:dyDescent="0.3">
      <c r="B163" s="30"/>
      <c r="C163" s="30"/>
      <c r="D163" s="30"/>
      <c r="E163" s="30"/>
      <c r="F163" s="30"/>
      <c r="G163" s="30"/>
      <c r="H163" s="30"/>
      <c r="I163" s="30"/>
      <c r="J163" s="30"/>
      <c r="K163" s="30"/>
      <c r="L163" s="30"/>
      <c r="M163" s="30"/>
      <c r="N163" s="30"/>
      <c r="O163" s="30"/>
    </row>
    <row r="164" spans="2:15" x14ac:dyDescent="0.3">
      <c r="B164" s="30"/>
      <c r="C164" s="30"/>
      <c r="D164" s="30"/>
      <c r="E164" s="30"/>
      <c r="F164" s="30"/>
      <c r="G164" s="30"/>
      <c r="H164" s="30"/>
      <c r="I164" s="30"/>
      <c r="J164" s="30"/>
      <c r="K164" s="30"/>
      <c r="L164" s="30"/>
      <c r="M164" s="30"/>
      <c r="N164" s="30"/>
      <c r="O164" s="30"/>
    </row>
    <row r="165" spans="2:15" x14ac:dyDescent="0.3">
      <c r="B165" s="30"/>
      <c r="C165" s="30"/>
      <c r="D165" s="30"/>
      <c r="E165" s="30"/>
      <c r="F165" s="30"/>
      <c r="G165" s="30"/>
      <c r="H165" s="30"/>
      <c r="I165" s="30"/>
      <c r="J165" s="30"/>
      <c r="K165" s="30"/>
      <c r="L165" s="30"/>
      <c r="M165" s="30"/>
      <c r="N165" s="30"/>
      <c r="O165" s="30"/>
    </row>
    <row r="166" spans="2:15" x14ac:dyDescent="0.3">
      <c r="B166" s="30"/>
      <c r="C166" s="30"/>
      <c r="D166" s="30"/>
      <c r="E166" s="30"/>
      <c r="F166" s="30"/>
      <c r="G166" s="30"/>
      <c r="H166" s="30"/>
      <c r="I166" s="30"/>
      <c r="J166" s="30"/>
      <c r="K166" s="30"/>
      <c r="L166" s="30"/>
      <c r="M166" s="30"/>
      <c r="N166" s="30"/>
      <c r="O166" s="30"/>
    </row>
    <row r="167" spans="2:15" x14ac:dyDescent="0.3">
      <c r="B167" s="30"/>
      <c r="C167" s="30"/>
      <c r="D167" s="30"/>
      <c r="E167" s="30"/>
      <c r="F167" s="30"/>
      <c r="G167" s="30"/>
      <c r="H167" s="30"/>
      <c r="I167" s="30"/>
      <c r="J167" s="30"/>
      <c r="K167" s="30"/>
      <c r="L167" s="30"/>
      <c r="M167" s="30"/>
      <c r="N167" s="30"/>
      <c r="O167" s="30"/>
    </row>
    <row r="168" spans="2:15" x14ac:dyDescent="0.3">
      <c r="B168" s="30"/>
      <c r="C168" s="30"/>
      <c r="D168" s="30"/>
      <c r="E168" s="30"/>
      <c r="F168" s="30"/>
      <c r="G168" s="30"/>
      <c r="H168" s="30"/>
      <c r="I168" s="30"/>
      <c r="J168" s="30"/>
      <c r="K168" s="30"/>
      <c r="L168" s="30"/>
      <c r="M168" s="30"/>
      <c r="N168" s="30"/>
      <c r="O168" s="30"/>
    </row>
    <row r="169" spans="2:15" x14ac:dyDescent="0.3">
      <c r="B169" s="30"/>
      <c r="C169" s="30"/>
      <c r="D169" s="30"/>
      <c r="E169" s="30"/>
      <c r="F169" s="30"/>
      <c r="G169" s="30"/>
      <c r="H169" s="30"/>
      <c r="I169" s="30"/>
      <c r="J169" s="30"/>
      <c r="K169" s="30"/>
      <c r="L169" s="30"/>
      <c r="M169" s="30"/>
      <c r="N169" s="30"/>
      <c r="O169" s="30"/>
    </row>
    <row r="170" spans="2:15" x14ac:dyDescent="0.3">
      <c r="B170" s="30"/>
      <c r="C170" s="30"/>
      <c r="D170" s="30"/>
      <c r="E170" s="30"/>
      <c r="F170" s="30"/>
      <c r="G170" s="30"/>
      <c r="H170" s="30"/>
      <c r="I170" s="30"/>
      <c r="J170" s="30"/>
      <c r="K170" s="30"/>
      <c r="L170" s="30"/>
      <c r="M170" s="30"/>
      <c r="N170" s="30"/>
      <c r="O170" s="30"/>
    </row>
    <row r="171" spans="2:15" x14ac:dyDescent="0.3">
      <c r="B171" s="30"/>
      <c r="C171" s="30"/>
      <c r="D171" s="30"/>
      <c r="E171" s="30"/>
      <c r="F171" s="30"/>
      <c r="G171" s="30"/>
      <c r="H171" s="30"/>
      <c r="I171" s="30"/>
      <c r="J171" s="30"/>
      <c r="K171" s="30"/>
      <c r="L171" s="30"/>
      <c r="M171" s="30"/>
      <c r="N171" s="30"/>
      <c r="O171" s="30"/>
    </row>
    <row r="172" spans="2:15" x14ac:dyDescent="0.3">
      <c r="B172" s="30"/>
      <c r="C172" s="30"/>
      <c r="D172" s="30"/>
      <c r="E172" s="30"/>
      <c r="F172" s="30"/>
      <c r="G172" s="30"/>
      <c r="H172" s="30"/>
      <c r="I172" s="30"/>
      <c r="J172" s="30"/>
      <c r="K172" s="30"/>
      <c r="L172" s="30"/>
      <c r="M172" s="30"/>
      <c r="N172" s="30"/>
      <c r="O172" s="30"/>
    </row>
    <row r="173" spans="2:15" x14ac:dyDescent="0.3">
      <c r="B173" s="30"/>
      <c r="C173" s="30"/>
      <c r="D173" s="30"/>
      <c r="E173" s="30"/>
      <c r="F173" s="30"/>
      <c r="G173" s="30"/>
      <c r="H173" s="30"/>
      <c r="I173" s="30"/>
      <c r="J173" s="30"/>
      <c r="K173" s="30"/>
      <c r="L173" s="30"/>
      <c r="M173" s="30"/>
      <c r="N173" s="30"/>
      <c r="O173" s="30"/>
    </row>
    <row r="174" spans="2:15" x14ac:dyDescent="0.3">
      <c r="B174" s="30"/>
      <c r="C174" s="30"/>
      <c r="D174" s="30"/>
      <c r="E174" s="30"/>
      <c r="F174" s="30"/>
      <c r="G174" s="30"/>
      <c r="H174" s="30"/>
      <c r="I174" s="30"/>
      <c r="J174" s="30"/>
      <c r="K174" s="30"/>
      <c r="L174" s="30"/>
      <c r="M174" s="30"/>
      <c r="N174" s="30"/>
      <c r="O174" s="30"/>
    </row>
    <row r="175" spans="2:15" x14ac:dyDescent="0.3">
      <c r="B175" s="30"/>
      <c r="C175" s="30"/>
      <c r="D175" s="30"/>
      <c r="E175" s="30"/>
      <c r="F175" s="30"/>
      <c r="G175" s="30"/>
      <c r="H175" s="30"/>
      <c r="I175" s="30"/>
      <c r="J175" s="30"/>
      <c r="K175" s="30"/>
      <c r="L175" s="30"/>
      <c r="M175" s="30"/>
      <c r="N175" s="30"/>
      <c r="O175" s="30"/>
    </row>
    <row r="176" spans="2:15" x14ac:dyDescent="0.3">
      <c r="B176" s="30"/>
      <c r="C176" s="30"/>
      <c r="D176" s="30"/>
      <c r="E176" s="30"/>
      <c r="F176" s="30"/>
      <c r="G176" s="30"/>
      <c r="H176" s="30"/>
      <c r="I176" s="30"/>
      <c r="J176" s="30"/>
      <c r="K176" s="30"/>
      <c r="L176" s="30"/>
      <c r="M176" s="30"/>
      <c r="N176" s="30"/>
      <c r="O176" s="30"/>
    </row>
    <row r="177" spans="2:15" x14ac:dyDescent="0.3">
      <c r="B177" s="30"/>
      <c r="C177" s="30"/>
      <c r="D177" s="30"/>
      <c r="E177" s="30"/>
      <c r="F177" s="30"/>
      <c r="G177" s="30"/>
      <c r="H177" s="30"/>
      <c r="I177" s="30"/>
      <c r="J177" s="30"/>
      <c r="K177" s="30"/>
      <c r="L177" s="30"/>
      <c r="M177" s="30"/>
      <c r="N177" s="30"/>
      <c r="O177" s="30"/>
    </row>
    <row r="178" spans="2:15" x14ac:dyDescent="0.3">
      <c r="B178" s="30"/>
      <c r="C178" s="30"/>
      <c r="D178" s="30"/>
      <c r="E178" s="30"/>
      <c r="F178" s="30"/>
      <c r="G178" s="30"/>
      <c r="H178" s="30"/>
      <c r="I178" s="30"/>
      <c r="J178" s="30"/>
      <c r="K178" s="30"/>
      <c r="L178" s="30"/>
      <c r="M178" s="30"/>
      <c r="N178" s="30"/>
      <c r="O178" s="30"/>
    </row>
    <row r="179" spans="2:15" x14ac:dyDescent="0.3">
      <c r="B179" s="30"/>
      <c r="C179" s="30"/>
      <c r="D179" s="30"/>
      <c r="E179" s="30"/>
      <c r="F179" s="30"/>
      <c r="G179" s="30"/>
      <c r="H179" s="30"/>
      <c r="I179" s="30"/>
      <c r="J179" s="30"/>
      <c r="K179" s="30"/>
      <c r="L179" s="30"/>
      <c r="M179" s="30"/>
      <c r="N179" s="30"/>
      <c r="O179" s="30"/>
    </row>
    <row r="180" spans="2:15" x14ac:dyDescent="0.3">
      <c r="B180" s="30"/>
      <c r="C180" s="30"/>
      <c r="D180" s="30"/>
      <c r="E180" s="30"/>
      <c r="F180" s="30"/>
      <c r="G180" s="30"/>
      <c r="H180" s="30"/>
      <c r="I180" s="30"/>
      <c r="J180" s="30"/>
      <c r="K180" s="30"/>
      <c r="L180" s="30"/>
      <c r="M180" s="30"/>
      <c r="N180" s="30"/>
      <c r="O180" s="30"/>
    </row>
    <row r="181" spans="2:15" x14ac:dyDescent="0.3">
      <c r="B181" s="30"/>
      <c r="C181" s="30"/>
      <c r="D181" s="30"/>
      <c r="E181" s="30"/>
      <c r="F181" s="30"/>
      <c r="G181" s="30"/>
      <c r="H181" s="30"/>
      <c r="I181" s="30"/>
      <c r="J181" s="30"/>
      <c r="K181" s="30"/>
      <c r="L181" s="30"/>
      <c r="M181" s="30"/>
      <c r="N181" s="30"/>
      <c r="O181" s="30"/>
    </row>
    <row r="182" spans="2:15" x14ac:dyDescent="0.3">
      <c r="B182" s="30"/>
      <c r="C182" s="30"/>
      <c r="D182" s="30"/>
      <c r="E182" s="30"/>
      <c r="F182" s="30"/>
      <c r="G182" s="30"/>
      <c r="H182" s="30"/>
      <c r="I182" s="30"/>
      <c r="J182" s="30"/>
      <c r="K182" s="30"/>
      <c r="L182" s="30"/>
      <c r="M182" s="30"/>
      <c r="N182" s="30"/>
      <c r="O182" s="30"/>
    </row>
    <row r="183" spans="2:15" x14ac:dyDescent="0.3">
      <c r="B183" s="30"/>
      <c r="C183" s="30"/>
      <c r="D183" s="30"/>
      <c r="E183" s="30"/>
      <c r="F183" s="30"/>
      <c r="G183" s="30"/>
      <c r="H183" s="30"/>
      <c r="I183" s="30"/>
      <c r="J183" s="30"/>
      <c r="K183" s="30"/>
      <c r="L183" s="30"/>
      <c r="M183" s="30"/>
      <c r="N183" s="30"/>
      <c r="O183" s="30"/>
    </row>
    <row r="184" spans="2:15" x14ac:dyDescent="0.3">
      <c r="B184" s="30"/>
      <c r="C184" s="30"/>
      <c r="D184" s="30"/>
      <c r="E184" s="30"/>
      <c r="F184" s="30"/>
      <c r="G184" s="30"/>
      <c r="H184" s="30"/>
      <c r="I184" s="30"/>
      <c r="J184" s="30"/>
      <c r="K184" s="30"/>
      <c r="L184" s="30"/>
      <c r="M184" s="30"/>
      <c r="N184" s="30"/>
      <c r="O184" s="30"/>
    </row>
    <row r="185" spans="2:15" x14ac:dyDescent="0.3">
      <c r="B185" s="30"/>
      <c r="C185" s="30"/>
      <c r="D185" s="30"/>
      <c r="E185" s="30"/>
      <c r="F185" s="30"/>
      <c r="G185" s="30"/>
      <c r="H185" s="30"/>
      <c r="I185" s="30"/>
      <c r="J185" s="30"/>
      <c r="K185" s="30"/>
      <c r="L185" s="30"/>
      <c r="M185" s="30"/>
      <c r="N185" s="30"/>
      <c r="O185" s="30"/>
    </row>
    <row r="186" spans="2:15" x14ac:dyDescent="0.3">
      <c r="B186" s="30"/>
      <c r="C186" s="30"/>
      <c r="D186" s="30"/>
      <c r="E186" s="30"/>
      <c r="F186" s="30"/>
      <c r="G186" s="30"/>
      <c r="H186" s="30"/>
      <c r="I186" s="30"/>
      <c r="J186" s="30"/>
      <c r="K186" s="30"/>
      <c r="L186" s="30"/>
      <c r="M186" s="30"/>
      <c r="N186" s="30"/>
      <c r="O186" s="30"/>
    </row>
    <row r="187" spans="2:15" x14ac:dyDescent="0.3">
      <c r="B187" s="30"/>
      <c r="C187" s="30"/>
      <c r="D187" s="30"/>
      <c r="E187" s="30"/>
      <c r="F187" s="30"/>
      <c r="G187" s="30"/>
      <c r="H187" s="30"/>
      <c r="I187" s="30"/>
      <c r="J187" s="30"/>
      <c r="K187" s="30"/>
      <c r="L187" s="30"/>
      <c r="M187" s="30"/>
      <c r="N187" s="30"/>
      <c r="O187" s="30"/>
    </row>
    <row r="188" spans="2:15" x14ac:dyDescent="0.3">
      <c r="B188" s="30"/>
      <c r="C188" s="30"/>
      <c r="D188" s="30"/>
      <c r="E188" s="30"/>
      <c r="F188" s="30"/>
      <c r="G188" s="30"/>
      <c r="H188" s="30"/>
      <c r="I188" s="30"/>
      <c r="J188" s="30"/>
      <c r="K188" s="30"/>
      <c r="L188" s="30"/>
      <c r="M188" s="30"/>
      <c r="N188" s="30"/>
      <c r="O188" s="30"/>
    </row>
    <row r="189" spans="2:15" x14ac:dyDescent="0.3">
      <c r="B189" s="30"/>
      <c r="C189" s="30"/>
      <c r="D189" s="30"/>
      <c r="E189" s="30"/>
      <c r="F189" s="30"/>
      <c r="G189" s="30"/>
      <c r="H189" s="30"/>
      <c r="I189" s="30"/>
      <c r="J189" s="30"/>
      <c r="K189" s="30"/>
      <c r="L189" s="30"/>
      <c r="M189" s="30"/>
      <c r="N189" s="30"/>
      <c r="O189" s="30"/>
    </row>
    <row r="190" spans="2:15" x14ac:dyDescent="0.3">
      <c r="B190" s="30"/>
      <c r="C190" s="30"/>
      <c r="D190" s="30"/>
      <c r="E190" s="30"/>
      <c r="F190" s="30"/>
      <c r="G190" s="30"/>
      <c r="H190" s="30"/>
      <c r="I190" s="30"/>
      <c r="J190" s="30"/>
      <c r="K190" s="30"/>
      <c r="L190" s="30"/>
      <c r="M190" s="30"/>
      <c r="N190" s="30"/>
      <c r="O190" s="30"/>
    </row>
    <row r="191" spans="2:15" x14ac:dyDescent="0.3">
      <c r="B191" s="30"/>
      <c r="C191" s="30"/>
      <c r="D191" s="30"/>
      <c r="E191" s="30"/>
      <c r="F191" s="30"/>
      <c r="G191" s="30"/>
      <c r="H191" s="30"/>
      <c r="I191" s="30"/>
      <c r="J191" s="30"/>
      <c r="K191" s="30"/>
      <c r="L191" s="30"/>
      <c r="M191" s="30"/>
      <c r="N191" s="30"/>
      <c r="O191" s="30"/>
    </row>
    <row r="192" spans="2:15" x14ac:dyDescent="0.3">
      <c r="B192" s="30"/>
      <c r="C192" s="30"/>
      <c r="D192" s="30"/>
      <c r="E192" s="30"/>
      <c r="F192" s="30"/>
      <c r="G192" s="30"/>
      <c r="H192" s="30"/>
      <c r="I192" s="30"/>
      <c r="J192" s="30"/>
      <c r="K192" s="30"/>
      <c r="L192" s="30"/>
      <c r="M192" s="30"/>
      <c r="N192" s="30"/>
      <c r="O192" s="30"/>
    </row>
    <row r="193" spans="2:15" x14ac:dyDescent="0.3">
      <c r="B193" s="30"/>
      <c r="C193" s="30"/>
      <c r="D193" s="30"/>
      <c r="E193" s="30"/>
      <c r="F193" s="30"/>
      <c r="G193" s="30"/>
      <c r="H193" s="30"/>
      <c r="I193" s="30"/>
      <c r="J193" s="30"/>
      <c r="K193" s="30"/>
      <c r="L193" s="30"/>
      <c r="M193" s="30"/>
      <c r="N193" s="30"/>
      <c r="O193" s="30"/>
    </row>
    <row r="194" spans="2:15" x14ac:dyDescent="0.3">
      <c r="B194" s="30"/>
      <c r="C194" s="30"/>
      <c r="D194" s="30"/>
      <c r="E194" s="30"/>
      <c r="F194" s="30"/>
      <c r="G194" s="30"/>
      <c r="H194" s="30"/>
      <c r="I194" s="30"/>
      <c r="J194" s="30"/>
      <c r="K194" s="30"/>
      <c r="L194" s="30"/>
      <c r="M194" s="30"/>
      <c r="N194" s="30"/>
      <c r="O194" s="30"/>
    </row>
    <row r="195" spans="2:15" x14ac:dyDescent="0.3">
      <c r="B195" s="30"/>
      <c r="C195" s="30"/>
      <c r="D195" s="30"/>
      <c r="E195" s="30"/>
      <c r="F195" s="30"/>
      <c r="G195" s="30"/>
      <c r="H195" s="30"/>
      <c r="I195" s="30"/>
      <c r="J195" s="30"/>
      <c r="K195" s="30"/>
      <c r="L195" s="30"/>
      <c r="M195" s="30"/>
      <c r="N195" s="30"/>
      <c r="O195" s="30"/>
    </row>
    <row r="196" spans="2:15" x14ac:dyDescent="0.3">
      <c r="B196" s="30"/>
      <c r="C196" s="30"/>
      <c r="D196" s="30"/>
      <c r="E196" s="30"/>
      <c r="F196" s="30"/>
      <c r="G196" s="30"/>
      <c r="H196" s="30"/>
      <c r="I196" s="30"/>
      <c r="J196" s="30"/>
      <c r="K196" s="30"/>
      <c r="L196" s="30"/>
      <c r="M196" s="30"/>
      <c r="N196" s="30"/>
      <c r="O196" s="30"/>
    </row>
    <row r="197" spans="2:15" x14ac:dyDescent="0.3">
      <c r="B197" s="30"/>
      <c r="C197" s="30"/>
      <c r="D197" s="30"/>
      <c r="E197" s="30"/>
      <c r="F197" s="30"/>
      <c r="G197" s="30"/>
      <c r="H197" s="30"/>
      <c r="I197" s="30"/>
      <c r="J197" s="30"/>
      <c r="K197" s="30"/>
      <c r="L197" s="30"/>
      <c r="M197" s="30"/>
      <c r="N197" s="30"/>
      <c r="O197" s="30"/>
    </row>
    <row r="198" spans="2:15" x14ac:dyDescent="0.3">
      <c r="B198" s="30"/>
      <c r="C198" s="30"/>
      <c r="D198" s="30"/>
      <c r="E198" s="30"/>
      <c r="F198" s="30"/>
      <c r="G198" s="30"/>
      <c r="H198" s="30"/>
      <c r="I198" s="30"/>
      <c r="J198" s="30"/>
      <c r="K198" s="30"/>
      <c r="L198" s="30"/>
      <c r="M198" s="30"/>
      <c r="N198" s="30"/>
      <c r="O198" s="30"/>
    </row>
    <row r="199" spans="2:15" x14ac:dyDescent="0.3">
      <c r="B199" s="30"/>
      <c r="C199" s="30"/>
      <c r="D199" s="30"/>
      <c r="E199" s="30"/>
      <c r="F199" s="30"/>
      <c r="G199" s="30"/>
      <c r="H199" s="30"/>
      <c r="I199" s="30"/>
      <c r="J199" s="30"/>
      <c r="K199" s="30"/>
      <c r="L199" s="30"/>
      <c r="M199" s="30"/>
      <c r="N199" s="30"/>
      <c r="O199" s="30"/>
    </row>
    <row r="200" spans="2:15" x14ac:dyDescent="0.3">
      <c r="B200" s="30"/>
      <c r="C200" s="30"/>
      <c r="D200" s="30"/>
      <c r="E200" s="30"/>
      <c r="F200" s="30"/>
      <c r="G200" s="30"/>
      <c r="H200" s="30"/>
      <c r="I200" s="30"/>
      <c r="J200" s="30"/>
      <c r="K200" s="30"/>
      <c r="L200" s="30"/>
      <c r="M200" s="30"/>
      <c r="N200" s="30"/>
      <c r="O200" s="30"/>
    </row>
    <row r="201" spans="2:15" x14ac:dyDescent="0.3">
      <c r="B201" s="30"/>
      <c r="C201" s="30"/>
      <c r="D201" s="30"/>
      <c r="E201" s="30"/>
      <c r="F201" s="30"/>
      <c r="G201" s="30"/>
      <c r="H201" s="30"/>
      <c r="I201" s="30"/>
      <c r="J201" s="30"/>
      <c r="K201" s="30"/>
      <c r="L201" s="30"/>
      <c r="M201" s="30"/>
      <c r="N201" s="30"/>
      <c r="O201" s="30"/>
    </row>
    <row r="202" spans="2:15" x14ac:dyDescent="0.3">
      <c r="B202" s="30"/>
      <c r="C202" s="30"/>
      <c r="D202" s="30"/>
      <c r="E202" s="30"/>
      <c r="F202" s="30"/>
      <c r="G202" s="30"/>
      <c r="H202" s="30"/>
      <c r="I202" s="30"/>
      <c r="J202" s="30"/>
      <c r="K202" s="30"/>
      <c r="L202" s="30"/>
      <c r="M202" s="30"/>
      <c r="N202" s="30"/>
      <c r="O202" s="30"/>
    </row>
    <row r="203" spans="2:15" x14ac:dyDescent="0.3">
      <c r="B203" s="30"/>
      <c r="C203" s="30"/>
      <c r="D203" s="30"/>
      <c r="E203" s="30"/>
      <c r="F203" s="30"/>
      <c r="G203" s="30"/>
      <c r="H203" s="30"/>
      <c r="I203" s="30"/>
      <c r="J203" s="30"/>
      <c r="K203" s="30"/>
      <c r="L203" s="30"/>
      <c r="M203" s="30"/>
      <c r="N203" s="30"/>
      <c r="O203" s="30"/>
    </row>
    <row r="204" spans="2:15" x14ac:dyDescent="0.3">
      <c r="B204" s="30"/>
      <c r="C204" s="30"/>
      <c r="D204" s="30"/>
      <c r="E204" s="30"/>
      <c r="F204" s="30"/>
      <c r="G204" s="30"/>
      <c r="H204" s="30"/>
      <c r="I204" s="30"/>
      <c r="J204" s="30"/>
      <c r="K204" s="30"/>
      <c r="L204" s="30"/>
      <c r="M204" s="30"/>
      <c r="N204" s="30"/>
      <c r="O204" s="30"/>
    </row>
    <row r="205" spans="2:15" x14ac:dyDescent="0.3">
      <c r="B205" s="30"/>
      <c r="C205" s="30"/>
      <c r="D205" s="30"/>
      <c r="E205" s="30"/>
      <c r="F205" s="30"/>
      <c r="G205" s="30"/>
      <c r="H205" s="30"/>
      <c r="I205" s="30"/>
      <c r="J205" s="30"/>
      <c r="K205" s="30"/>
      <c r="L205" s="30"/>
      <c r="M205" s="30"/>
      <c r="N205" s="30"/>
      <c r="O205" s="30"/>
    </row>
    <row r="206" spans="2:15" x14ac:dyDescent="0.3">
      <c r="B206" s="30"/>
      <c r="C206" s="30"/>
      <c r="D206" s="30"/>
      <c r="E206" s="30"/>
      <c r="F206" s="30"/>
      <c r="G206" s="30"/>
      <c r="H206" s="30"/>
      <c r="I206" s="30"/>
      <c r="J206" s="30"/>
      <c r="K206" s="30"/>
      <c r="L206" s="30"/>
      <c r="M206" s="30"/>
      <c r="N206" s="30"/>
      <c r="O206" s="30"/>
    </row>
    <row r="207" spans="2:15" x14ac:dyDescent="0.3">
      <c r="B207" s="30"/>
      <c r="C207" s="30"/>
      <c r="D207" s="30"/>
      <c r="E207" s="30"/>
      <c r="F207" s="30"/>
      <c r="G207" s="30"/>
      <c r="H207" s="30"/>
      <c r="I207" s="30"/>
      <c r="J207" s="30"/>
      <c r="K207" s="30"/>
      <c r="L207" s="30"/>
      <c r="M207" s="30"/>
      <c r="N207" s="30"/>
      <c r="O207" s="30"/>
    </row>
    <row r="208" spans="2:15" x14ac:dyDescent="0.3">
      <c r="B208" s="30"/>
      <c r="C208" s="30"/>
      <c r="D208" s="30"/>
      <c r="E208" s="30"/>
      <c r="F208" s="30"/>
      <c r="G208" s="30"/>
      <c r="H208" s="30"/>
      <c r="I208" s="30"/>
      <c r="J208" s="30"/>
      <c r="K208" s="30"/>
      <c r="L208" s="30"/>
      <c r="M208" s="30"/>
      <c r="N208" s="30"/>
      <c r="O208" s="30"/>
    </row>
    <row r="209" spans="2:15" x14ac:dyDescent="0.3">
      <c r="B209" s="30"/>
      <c r="C209" s="30"/>
      <c r="D209" s="30"/>
      <c r="E209" s="30"/>
      <c r="F209" s="30"/>
      <c r="G209" s="30"/>
      <c r="H209" s="30"/>
      <c r="I209" s="30"/>
      <c r="J209" s="30"/>
      <c r="K209" s="30"/>
      <c r="L209" s="30"/>
      <c r="M209" s="30"/>
      <c r="N209" s="30"/>
      <c r="O209" s="30"/>
    </row>
    <row r="210" spans="2:15" x14ac:dyDescent="0.3">
      <c r="B210" s="30"/>
      <c r="C210" s="30"/>
      <c r="D210" s="30"/>
      <c r="E210" s="30"/>
      <c r="F210" s="30"/>
      <c r="G210" s="30"/>
      <c r="H210" s="30"/>
      <c r="I210" s="30"/>
      <c r="J210" s="30"/>
      <c r="K210" s="30"/>
      <c r="L210" s="30"/>
      <c r="M210" s="30"/>
      <c r="N210" s="30"/>
      <c r="O210" s="30"/>
    </row>
    <row r="211" spans="2:15" x14ac:dyDescent="0.3">
      <c r="B211" s="30"/>
      <c r="C211" s="30"/>
      <c r="D211" s="30"/>
      <c r="E211" s="30"/>
      <c r="F211" s="30"/>
      <c r="G211" s="30"/>
      <c r="H211" s="30"/>
      <c r="I211" s="30"/>
      <c r="J211" s="30"/>
      <c r="K211" s="30"/>
      <c r="L211" s="30"/>
      <c r="M211" s="30"/>
      <c r="N211" s="30"/>
      <c r="O211" s="30"/>
    </row>
    <row r="212" spans="2:15" x14ac:dyDescent="0.3">
      <c r="B212" s="30"/>
      <c r="C212" s="30"/>
      <c r="D212" s="30"/>
      <c r="E212" s="30"/>
      <c r="F212" s="30"/>
      <c r="G212" s="30"/>
      <c r="H212" s="30"/>
      <c r="I212" s="30"/>
      <c r="J212" s="30"/>
      <c r="K212" s="30"/>
      <c r="L212" s="30"/>
      <c r="M212" s="30"/>
      <c r="N212" s="30"/>
      <c r="O212" s="30"/>
    </row>
    <row r="213" spans="2:15" x14ac:dyDescent="0.3">
      <c r="B213" s="30"/>
      <c r="C213" s="30"/>
      <c r="D213" s="30"/>
      <c r="E213" s="30"/>
      <c r="F213" s="30"/>
      <c r="G213" s="30"/>
      <c r="H213" s="30"/>
      <c r="I213" s="30"/>
      <c r="J213" s="30"/>
      <c r="K213" s="30"/>
      <c r="L213" s="30"/>
      <c r="M213" s="30"/>
      <c r="N213" s="30"/>
      <c r="O213" s="30"/>
    </row>
    <row r="214" spans="2:15" x14ac:dyDescent="0.3">
      <c r="B214" s="30"/>
      <c r="C214" s="30"/>
      <c r="D214" s="30"/>
      <c r="E214" s="30"/>
      <c r="F214" s="30"/>
      <c r="G214" s="30"/>
      <c r="H214" s="30"/>
      <c r="I214" s="30"/>
      <c r="J214" s="30"/>
      <c r="K214" s="30"/>
      <c r="L214" s="30"/>
      <c r="M214" s="30"/>
      <c r="N214" s="30"/>
      <c r="O214" s="30"/>
    </row>
    <row r="215" spans="2:15" x14ac:dyDescent="0.3">
      <c r="B215" s="30"/>
      <c r="C215" s="30"/>
      <c r="D215" s="30"/>
      <c r="E215" s="30"/>
      <c r="F215" s="30"/>
      <c r="G215" s="30"/>
      <c r="H215" s="30"/>
      <c r="I215" s="30"/>
      <c r="J215" s="30"/>
      <c r="K215" s="30"/>
      <c r="L215" s="30"/>
      <c r="M215" s="30"/>
      <c r="N215" s="30"/>
      <c r="O215" s="30"/>
    </row>
    <row r="216" spans="2:15" x14ac:dyDescent="0.3">
      <c r="B216" s="30"/>
      <c r="C216" s="30"/>
      <c r="D216" s="30"/>
      <c r="E216" s="30"/>
      <c r="F216" s="30"/>
      <c r="G216" s="30"/>
      <c r="H216" s="30"/>
      <c r="I216" s="30"/>
      <c r="J216" s="30"/>
      <c r="K216" s="30"/>
      <c r="L216" s="30"/>
      <c r="M216" s="30"/>
      <c r="N216" s="30"/>
      <c r="O216" s="30"/>
    </row>
    <row r="217" spans="2:15" x14ac:dyDescent="0.3">
      <c r="B217" s="30"/>
      <c r="C217" s="30"/>
      <c r="D217" s="30"/>
      <c r="E217" s="30"/>
      <c r="F217" s="30"/>
      <c r="G217" s="30"/>
      <c r="H217" s="30"/>
      <c r="I217" s="30"/>
      <c r="J217" s="30"/>
      <c r="K217" s="30"/>
      <c r="L217" s="30"/>
      <c r="M217" s="30"/>
      <c r="N217" s="30"/>
      <c r="O217" s="30"/>
    </row>
    <row r="218" spans="2:15" x14ac:dyDescent="0.3">
      <c r="B218" s="30"/>
      <c r="C218" s="30"/>
      <c r="D218" s="30"/>
      <c r="E218" s="30"/>
      <c r="F218" s="30"/>
      <c r="G218" s="30"/>
      <c r="H218" s="30"/>
      <c r="I218" s="30"/>
      <c r="J218" s="30"/>
      <c r="K218" s="30"/>
      <c r="L218" s="30"/>
      <c r="M218" s="30"/>
      <c r="N218" s="30"/>
      <c r="O218" s="30"/>
    </row>
    <row r="219" spans="2:15" x14ac:dyDescent="0.3">
      <c r="B219" s="30"/>
      <c r="C219" s="30"/>
      <c r="D219" s="30"/>
      <c r="E219" s="30"/>
      <c r="F219" s="30"/>
      <c r="G219" s="30"/>
      <c r="H219" s="30"/>
      <c r="I219" s="30"/>
      <c r="J219" s="30"/>
      <c r="K219" s="30"/>
      <c r="L219" s="30"/>
      <c r="M219" s="30"/>
      <c r="N219" s="30"/>
      <c r="O219" s="30"/>
    </row>
    <row r="220" spans="2:15" x14ac:dyDescent="0.3">
      <c r="B220" s="30"/>
      <c r="C220" s="30"/>
      <c r="D220" s="30"/>
      <c r="E220" s="30"/>
      <c r="F220" s="30"/>
      <c r="G220" s="30"/>
      <c r="H220" s="30"/>
      <c r="I220" s="30"/>
      <c r="J220" s="30"/>
      <c r="K220" s="30"/>
      <c r="L220" s="30"/>
      <c r="M220" s="30"/>
      <c r="N220" s="30"/>
      <c r="O220" s="30"/>
    </row>
    <row r="221" spans="2:15" x14ac:dyDescent="0.3">
      <c r="B221" s="30"/>
      <c r="C221" s="30"/>
      <c r="D221" s="30"/>
      <c r="E221" s="30"/>
      <c r="F221" s="30"/>
      <c r="G221" s="30"/>
      <c r="H221" s="30"/>
      <c r="I221" s="30"/>
      <c r="J221" s="30"/>
      <c r="K221" s="30"/>
      <c r="L221" s="30"/>
      <c r="M221" s="30"/>
      <c r="N221" s="30"/>
      <c r="O221" s="30"/>
    </row>
    <row r="222" spans="2:15" x14ac:dyDescent="0.3">
      <c r="B222" s="30"/>
      <c r="C222" s="30"/>
      <c r="D222" s="30"/>
      <c r="E222" s="30"/>
      <c r="F222" s="30"/>
      <c r="G222" s="30"/>
      <c r="H222" s="30"/>
      <c r="I222" s="30"/>
      <c r="J222" s="30"/>
      <c r="K222" s="30"/>
      <c r="L222" s="30"/>
      <c r="M222" s="30"/>
      <c r="N222" s="30"/>
      <c r="O222" s="30"/>
    </row>
    <row r="223" spans="2:15" x14ac:dyDescent="0.3">
      <c r="B223" s="30"/>
      <c r="C223" s="30"/>
      <c r="D223" s="30"/>
      <c r="E223" s="30"/>
      <c r="F223" s="30"/>
      <c r="G223" s="30"/>
      <c r="H223" s="30"/>
      <c r="I223" s="30"/>
      <c r="J223" s="30"/>
      <c r="K223" s="30"/>
      <c r="L223" s="30"/>
      <c r="M223" s="30"/>
      <c r="N223" s="30"/>
      <c r="O223" s="30"/>
    </row>
    <row r="224" spans="2:15" x14ac:dyDescent="0.3">
      <c r="B224" s="30"/>
      <c r="C224" s="30"/>
      <c r="D224" s="30"/>
      <c r="E224" s="30"/>
      <c r="F224" s="30"/>
      <c r="G224" s="30"/>
      <c r="H224" s="30"/>
      <c r="I224" s="30"/>
      <c r="J224" s="30"/>
      <c r="K224" s="30"/>
      <c r="L224" s="30"/>
      <c r="M224" s="30"/>
      <c r="N224" s="30"/>
      <c r="O224" s="30"/>
    </row>
    <row r="225" spans="2:15" x14ac:dyDescent="0.3">
      <c r="B225" s="30"/>
      <c r="C225" s="30"/>
      <c r="D225" s="30"/>
      <c r="E225" s="30"/>
      <c r="F225" s="30"/>
      <c r="G225" s="30"/>
      <c r="H225" s="30"/>
      <c r="I225" s="30"/>
      <c r="J225" s="30"/>
      <c r="K225" s="30"/>
      <c r="L225" s="30"/>
      <c r="M225" s="30"/>
      <c r="N225" s="30"/>
      <c r="O225" s="30"/>
    </row>
    <row r="226" spans="2:15" x14ac:dyDescent="0.3">
      <c r="B226" s="30"/>
      <c r="C226" s="30"/>
      <c r="D226" s="30"/>
      <c r="E226" s="30"/>
      <c r="F226" s="30"/>
      <c r="G226" s="30"/>
      <c r="H226" s="30"/>
      <c r="I226" s="30"/>
      <c r="J226" s="30"/>
      <c r="K226" s="30"/>
      <c r="L226" s="30"/>
      <c r="M226" s="30"/>
      <c r="N226" s="30"/>
      <c r="O226" s="30"/>
    </row>
    <row r="227" spans="2:15" x14ac:dyDescent="0.3">
      <c r="B227" s="30"/>
      <c r="C227" s="30"/>
      <c r="D227" s="30"/>
      <c r="E227" s="30"/>
      <c r="F227" s="30"/>
      <c r="G227" s="30"/>
      <c r="H227" s="30"/>
      <c r="I227" s="30"/>
      <c r="J227" s="30"/>
      <c r="K227" s="30"/>
      <c r="L227" s="30"/>
      <c r="M227" s="30"/>
      <c r="N227" s="30"/>
      <c r="O227" s="30"/>
    </row>
    <row r="228" spans="2:15" x14ac:dyDescent="0.3">
      <c r="B228" s="30"/>
      <c r="C228" s="30"/>
      <c r="D228" s="30"/>
      <c r="E228" s="30"/>
      <c r="F228" s="30"/>
      <c r="G228" s="30"/>
      <c r="H228" s="30"/>
      <c r="I228" s="30"/>
      <c r="J228" s="30"/>
      <c r="K228" s="30"/>
      <c r="L228" s="30"/>
      <c r="M228" s="30"/>
      <c r="N228" s="30"/>
      <c r="O228" s="30"/>
    </row>
    <row r="229" spans="2:15" x14ac:dyDescent="0.3">
      <c r="B229" s="30"/>
      <c r="C229" s="30"/>
      <c r="D229" s="30"/>
      <c r="E229" s="30"/>
      <c r="F229" s="30"/>
      <c r="G229" s="30"/>
      <c r="H229" s="30"/>
      <c r="I229" s="30"/>
      <c r="J229" s="30"/>
      <c r="K229" s="30"/>
      <c r="L229" s="30"/>
      <c r="M229" s="30"/>
      <c r="N229" s="30"/>
      <c r="O229" s="30"/>
    </row>
    <row r="230" spans="2:15" x14ac:dyDescent="0.3">
      <c r="B230" s="30"/>
      <c r="C230" s="30"/>
      <c r="D230" s="30"/>
      <c r="E230" s="30"/>
      <c r="F230" s="30"/>
      <c r="G230" s="30"/>
      <c r="H230" s="30"/>
      <c r="I230" s="30"/>
      <c r="J230" s="30"/>
      <c r="K230" s="30"/>
      <c r="L230" s="30"/>
      <c r="M230" s="30"/>
      <c r="N230" s="30"/>
      <c r="O230" s="30"/>
    </row>
    <row r="231" spans="2:15" x14ac:dyDescent="0.3">
      <c r="B231" s="30"/>
      <c r="C231" s="30"/>
      <c r="D231" s="30"/>
      <c r="E231" s="30"/>
      <c r="F231" s="30"/>
      <c r="G231" s="30"/>
      <c r="H231" s="30"/>
      <c r="I231" s="30"/>
      <c r="J231" s="30"/>
      <c r="K231" s="30"/>
      <c r="L231" s="30"/>
      <c r="M231" s="30"/>
      <c r="N231" s="30"/>
      <c r="O231" s="30"/>
    </row>
    <row r="232" spans="2:15" x14ac:dyDescent="0.3">
      <c r="B232" s="30"/>
      <c r="C232" s="30"/>
      <c r="D232" s="30"/>
      <c r="E232" s="30"/>
      <c r="F232" s="30"/>
      <c r="G232" s="30"/>
      <c r="H232" s="30"/>
      <c r="I232" s="30"/>
      <c r="J232" s="30"/>
      <c r="K232" s="30"/>
      <c r="L232" s="30"/>
      <c r="M232" s="30"/>
      <c r="N232" s="30"/>
      <c r="O232" s="30"/>
    </row>
    <row r="233" spans="2:15" x14ac:dyDescent="0.3">
      <c r="B233" s="30"/>
      <c r="C233" s="30"/>
      <c r="D233" s="30"/>
      <c r="E233" s="30"/>
      <c r="F233" s="30"/>
      <c r="G233" s="30"/>
      <c r="H233" s="30"/>
      <c r="I233" s="30"/>
      <c r="J233" s="30"/>
      <c r="K233" s="30"/>
      <c r="L233" s="30"/>
      <c r="M233" s="30"/>
      <c r="N233" s="30"/>
      <c r="O233" s="30"/>
    </row>
    <row r="234" spans="2:15" x14ac:dyDescent="0.3">
      <c r="B234" s="30"/>
      <c r="C234" s="30"/>
      <c r="D234" s="30"/>
      <c r="E234" s="30"/>
      <c r="F234" s="30"/>
      <c r="G234" s="30"/>
      <c r="H234" s="30"/>
      <c r="I234" s="30"/>
      <c r="J234" s="30"/>
      <c r="K234" s="30"/>
      <c r="L234" s="30"/>
      <c r="M234" s="30"/>
      <c r="N234" s="30"/>
      <c r="O234" s="30"/>
    </row>
    <row r="235" spans="2:15" x14ac:dyDescent="0.3">
      <c r="B235" s="30"/>
      <c r="C235" s="30"/>
      <c r="D235" s="30"/>
      <c r="E235" s="30"/>
      <c r="F235" s="30"/>
      <c r="G235" s="30"/>
      <c r="H235" s="30"/>
      <c r="I235" s="30"/>
      <c r="J235" s="30"/>
      <c r="K235" s="30"/>
      <c r="L235" s="30"/>
      <c r="M235" s="30"/>
      <c r="N235" s="30"/>
      <c r="O235" s="30"/>
    </row>
    <row r="236" spans="2:15" x14ac:dyDescent="0.3">
      <c r="B236" s="30"/>
      <c r="C236" s="30"/>
      <c r="D236" s="30"/>
      <c r="E236" s="30"/>
      <c r="F236" s="30"/>
      <c r="G236" s="30"/>
      <c r="H236" s="30"/>
      <c r="I236" s="30"/>
      <c r="J236" s="30"/>
      <c r="K236" s="30"/>
      <c r="L236" s="30"/>
      <c r="M236" s="30"/>
      <c r="N236" s="30"/>
      <c r="O236" s="30"/>
    </row>
    <row r="237" spans="2:15" x14ac:dyDescent="0.3">
      <c r="B237" s="30"/>
      <c r="C237" s="30"/>
      <c r="D237" s="30"/>
      <c r="E237" s="30"/>
      <c r="F237" s="30"/>
      <c r="G237" s="30"/>
      <c r="H237" s="30"/>
      <c r="I237" s="30"/>
      <c r="J237" s="30"/>
      <c r="K237" s="30"/>
      <c r="L237" s="30"/>
      <c r="M237" s="30"/>
      <c r="N237" s="30"/>
      <c r="O237" s="30"/>
    </row>
    <row r="238" spans="2:15" x14ac:dyDescent="0.3">
      <c r="B238" s="30"/>
      <c r="C238" s="30"/>
      <c r="D238" s="30"/>
      <c r="E238" s="30"/>
      <c r="F238" s="30"/>
      <c r="G238" s="30"/>
      <c r="H238" s="30"/>
      <c r="I238" s="30"/>
      <c r="J238" s="30"/>
      <c r="K238" s="30"/>
      <c r="L238" s="30"/>
      <c r="M238" s="30"/>
      <c r="N238" s="30"/>
      <c r="O238" s="30"/>
    </row>
    <row r="239" spans="2:15" x14ac:dyDescent="0.3">
      <c r="B239" s="30"/>
      <c r="C239" s="30"/>
      <c r="D239" s="30"/>
      <c r="E239" s="30"/>
      <c r="F239" s="30"/>
      <c r="G239" s="30"/>
      <c r="H239" s="30"/>
      <c r="I239" s="30"/>
      <c r="J239" s="30"/>
      <c r="K239" s="30"/>
      <c r="L239" s="30"/>
      <c r="M239" s="30"/>
      <c r="N239" s="30"/>
      <c r="O239" s="30"/>
    </row>
    <row r="240" spans="2:15" x14ac:dyDescent="0.3">
      <c r="B240" s="30"/>
      <c r="C240" s="30"/>
      <c r="D240" s="30"/>
      <c r="E240" s="30"/>
      <c r="F240" s="30"/>
      <c r="G240" s="30"/>
      <c r="H240" s="30"/>
      <c r="I240" s="30"/>
      <c r="J240" s="30"/>
      <c r="K240" s="30"/>
      <c r="L240" s="30"/>
      <c r="M240" s="30"/>
      <c r="N240" s="30"/>
      <c r="O240" s="30"/>
    </row>
    <row r="241" spans="2:15" x14ac:dyDescent="0.3">
      <c r="B241" s="30"/>
      <c r="C241" s="30"/>
      <c r="D241" s="30"/>
      <c r="E241" s="30"/>
      <c r="F241" s="30"/>
      <c r="G241" s="30"/>
      <c r="H241" s="30"/>
      <c r="I241" s="30"/>
      <c r="J241" s="30"/>
      <c r="K241" s="30"/>
      <c r="L241" s="30"/>
      <c r="M241" s="30"/>
      <c r="N241" s="30"/>
      <c r="O241" s="30"/>
    </row>
    <row r="242" spans="2:15" x14ac:dyDescent="0.3">
      <c r="B242" s="30"/>
      <c r="C242" s="30"/>
      <c r="D242" s="30"/>
      <c r="E242" s="30"/>
      <c r="F242" s="30"/>
      <c r="G242" s="30"/>
      <c r="H242" s="30"/>
      <c r="I242" s="30"/>
      <c r="J242" s="30"/>
      <c r="K242" s="30"/>
      <c r="L242" s="30"/>
      <c r="M242" s="30"/>
      <c r="N242" s="30"/>
      <c r="O242" s="30"/>
    </row>
    <row r="243" spans="2:15" x14ac:dyDescent="0.3">
      <c r="B243" s="30"/>
      <c r="C243" s="30"/>
      <c r="D243" s="30"/>
      <c r="E243" s="30"/>
      <c r="F243" s="30"/>
      <c r="G243" s="30"/>
      <c r="H243" s="30"/>
      <c r="I243" s="30"/>
      <c r="J243" s="30"/>
      <c r="K243" s="30"/>
      <c r="L243" s="30"/>
      <c r="M243" s="30"/>
      <c r="N243" s="30"/>
      <c r="O243" s="30"/>
    </row>
    <row r="244" spans="2:15" x14ac:dyDescent="0.3">
      <c r="B244" s="30"/>
      <c r="C244" s="30"/>
      <c r="D244" s="30"/>
      <c r="E244" s="30"/>
      <c r="F244" s="30"/>
      <c r="G244" s="30"/>
      <c r="H244" s="30"/>
      <c r="I244" s="30"/>
      <c r="J244" s="30"/>
      <c r="K244" s="30"/>
      <c r="L244" s="30"/>
      <c r="M244" s="30"/>
      <c r="N244" s="30"/>
      <c r="O244" s="30"/>
    </row>
    <row r="245" spans="2:15" x14ac:dyDescent="0.3">
      <c r="B245" s="30"/>
      <c r="C245" s="30"/>
      <c r="D245" s="30"/>
      <c r="E245" s="30"/>
      <c r="F245" s="30"/>
      <c r="G245" s="30"/>
      <c r="H245" s="30"/>
      <c r="I245" s="30"/>
      <c r="J245" s="30"/>
      <c r="K245" s="30"/>
      <c r="L245" s="30"/>
      <c r="M245" s="30"/>
      <c r="N245" s="30"/>
      <c r="O245" s="30"/>
    </row>
    <row r="246" spans="2:15" x14ac:dyDescent="0.3">
      <c r="B246" s="30"/>
      <c r="C246" s="30"/>
      <c r="D246" s="30"/>
      <c r="E246" s="30"/>
      <c r="F246" s="30"/>
      <c r="G246" s="30"/>
      <c r="H246" s="30"/>
      <c r="I246" s="30"/>
      <c r="J246" s="30"/>
      <c r="K246" s="30"/>
      <c r="L246" s="30"/>
      <c r="M246" s="30"/>
      <c r="N246" s="30"/>
      <c r="O246" s="30"/>
    </row>
    <row r="247" spans="2:15" x14ac:dyDescent="0.3">
      <c r="B247" s="30"/>
      <c r="C247" s="30"/>
      <c r="D247" s="30"/>
      <c r="E247" s="30"/>
      <c r="F247" s="30"/>
      <c r="G247" s="30"/>
      <c r="H247" s="30"/>
      <c r="I247" s="30"/>
      <c r="J247" s="30"/>
      <c r="K247" s="30"/>
      <c r="L247" s="30"/>
      <c r="M247" s="30"/>
      <c r="N247" s="30"/>
      <c r="O247" s="30"/>
    </row>
  </sheetData>
  <mergeCells count="1">
    <mergeCell ref="A2:J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35">
    <tabColor indexed="48"/>
    <outlinePr applyStyles="1" summaryBelow="0"/>
    <pageSetUpPr fitToPage="1"/>
  </sheetPr>
  <dimension ref="A2:T247"/>
  <sheetViews>
    <sheetView workbookViewId="0">
      <selection activeCell="C6" sqref="C6"/>
    </sheetView>
  </sheetViews>
  <sheetFormatPr defaultColWidth="9.109375" defaultRowHeight="13.8" outlineLevelRow="1" x14ac:dyDescent="0.3"/>
  <cols>
    <col min="1" max="1" width="77.33203125" style="26" bestFit="1" customWidth="1"/>
    <col min="2" max="3" width="20" style="26" customWidth="1"/>
    <col min="4" max="4" width="20.88671875" style="26" customWidth="1"/>
    <col min="5" max="5" width="11.44140625" style="26" bestFit="1" customWidth="1"/>
    <col min="6" max="6" width="9.109375" style="26" customWidth="1"/>
    <col min="7" max="16384" width="9.109375" style="26"/>
  </cols>
  <sheetData>
    <row r="2" spans="1:20" ht="54.75" customHeight="1" x14ac:dyDescent="0.35">
      <c r="A2" s="4" t="str">
        <f>DEBT_AS_OF_DATE&amp;"
"&amp;BY_INTEREST_RATE</f>
        <v>Державний та гарантований державою борг України
станом на 31.08.2026
(за видами відсоткових ставок)</v>
      </c>
      <c r="B2" s="3"/>
      <c r="C2" s="3"/>
      <c r="D2" s="3"/>
      <c r="E2" s="3"/>
      <c r="F2" s="63"/>
      <c r="G2" s="63"/>
      <c r="H2" s="63"/>
      <c r="I2" s="63"/>
      <c r="J2" s="63"/>
      <c r="K2" s="63"/>
      <c r="L2" s="63"/>
      <c r="M2" s="63"/>
      <c r="N2" s="63"/>
      <c r="O2" s="63"/>
      <c r="P2" s="63"/>
      <c r="Q2" s="63"/>
      <c r="R2" s="63"/>
      <c r="S2" s="63"/>
      <c r="T2" s="63"/>
    </row>
    <row r="3" spans="1:20" x14ac:dyDescent="0.3">
      <c r="A3" s="2"/>
      <c r="B3" s="2"/>
      <c r="C3" s="2"/>
      <c r="D3" s="2"/>
      <c r="E3" s="2"/>
    </row>
    <row r="4" spans="1:20" s="31" customFormat="1" x14ac:dyDescent="0.3">
      <c r="E4" s="31" t="str">
        <f>VALVAL</f>
        <v>млрд. одиниць</v>
      </c>
    </row>
    <row r="5" spans="1:20" s="18" customFormat="1" x14ac:dyDescent="0.25">
      <c r="A5" s="16"/>
      <c r="B5" s="156" t="str">
        <f>USD</f>
        <v>дол. США</v>
      </c>
      <c r="C5" s="156" t="str">
        <f>EUR</f>
        <v>євро</v>
      </c>
      <c r="D5" s="156" t="str">
        <f>UAH</f>
        <v>грн.</v>
      </c>
      <c r="E5" s="61" t="s">
        <v>0</v>
      </c>
    </row>
    <row r="6" spans="1:20" s="143" customFormat="1" ht="15.6" x14ac:dyDescent="0.25">
      <c r="A6" s="155" t="str">
        <f>DEBT_TOTAL</f>
        <v>Загальна сума державного та гарантованого державою боргу</v>
      </c>
      <c r="B6" s="141">
        <f>SUM(B$7+ B$8)</f>
        <v>215.55073598985001</v>
      </c>
      <c r="C6" s="141">
        <f>SUM(C$7+ C$8)</f>
        <v>185.09674296469998</v>
      </c>
      <c r="D6" s="141">
        <f>SUM(D$7+ D$8)</f>
        <v>9602.8930637009707</v>
      </c>
      <c r="E6" s="142">
        <f>SUM(E$7+ E$8)</f>
        <v>1</v>
      </c>
    </row>
    <row r="7" spans="1:20" s="42" customFormat="1" ht="14.4" outlineLevel="1" x14ac:dyDescent="0.25">
      <c r="A7" s="246" t="s">
        <v>131</v>
      </c>
      <c r="B7" s="247">
        <v>61.752006470600001</v>
      </c>
      <c r="C7" s="247">
        <v>53.027400796199998</v>
      </c>
      <c r="D7" s="247">
        <v>2751.0827642719901</v>
      </c>
      <c r="E7" s="248">
        <v>0.28648499999999999</v>
      </c>
    </row>
    <row r="8" spans="1:20" s="42" customFormat="1" ht="14.4" outlineLevel="1" x14ac:dyDescent="0.25">
      <c r="A8" s="246" t="s">
        <v>132</v>
      </c>
      <c r="B8" s="247">
        <v>153.79872951925</v>
      </c>
      <c r="C8" s="247">
        <v>132.06934216849999</v>
      </c>
      <c r="D8" s="247">
        <v>6851.8102994289802</v>
      </c>
      <c r="E8" s="248">
        <v>0.71351500000000001</v>
      </c>
    </row>
    <row r="9" spans="1:20" x14ac:dyDescent="0.3">
      <c r="B9" s="29"/>
      <c r="C9" s="29"/>
      <c r="D9" s="29"/>
      <c r="E9" s="29"/>
      <c r="F9" s="30"/>
      <c r="G9" s="30"/>
      <c r="H9" s="30"/>
      <c r="I9" s="30"/>
      <c r="J9" s="30"/>
      <c r="K9" s="30"/>
      <c r="L9" s="30"/>
      <c r="M9" s="30"/>
      <c r="N9" s="30"/>
      <c r="O9" s="30"/>
      <c r="P9" s="30"/>
      <c r="Q9" s="30"/>
      <c r="R9" s="30"/>
    </row>
    <row r="10" spans="1:20" x14ac:dyDescent="0.3">
      <c r="B10" s="29"/>
      <c r="C10" s="29"/>
      <c r="D10" s="29"/>
      <c r="E10" s="29"/>
      <c r="F10" s="30"/>
      <c r="G10" s="30"/>
      <c r="H10" s="30"/>
      <c r="I10" s="30"/>
      <c r="J10" s="30"/>
      <c r="K10" s="30"/>
      <c r="L10" s="30"/>
      <c r="M10" s="30"/>
      <c r="N10" s="30"/>
      <c r="O10" s="30"/>
      <c r="P10" s="30"/>
      <c r="Q10" s="30"/>
      <c r="R10" s="30"/>
    </row>
    <row r="11" spans="1:20" x14ac:dyDescent="0.3">
      <c r="B11" s="29"/>
      <c r="C11" s="29"/>
      <c r="D11" s="29"/>
      <c r="E11" s="29"/>
      <c r="F11" s="30"/>
      <c r="G11" s="30"/>
      <c r="H11" s="30"/>
      <c r="I11" s="30"/>
      <c r="J11" s="30"/>
      <c r="K11" s="30"/>
      <c r="L11" s="30"/>
      <c r="M11" s="30"/>
      <c r="N11" s="30"/>
      <c r="O11" s="30"/>
      <c r="P11" s="30"/>
      <c r="Q11" s="30"/>
      <c r="R11" s="30"/>
    </row>
    <row r="12" spans="1:20" x14ac:dyDescent="0.3">
      <c r="B12" s="30"/>
      <c r="C12" s="30"/>
      <c r="D12" s="30"/>
      <c r="E12" s="30"/>
      <c r="F12" s="30"/>
      <c r="G12" s="30"/>
      <c r="H12" s="30"/>
      <c r="I12" s="30"/>
      <c r="J12" s="30"/>
      <c r="K12" s="30"/>
      <c r="L12" s="30"/>
      <c r="M12" s="30"/>
      <c r="N12" s="30"/>
      <c r="O12" s="30"/>
      <c r="P12" s="30"/>
      <c r="Q12" s="30"/>
      <c r="R12" s="30"/>
    </row>
    <row r="13" spans="1:20" x14ac:dyDescent="0.3">
      <c r="B13" s="30"/>
      <c r="C13" s="30"/>
      <c r="D13" s="30"/>
      <c r="E13" s="30"/>
      <c r="F13" s="30"/>
      <c r="G13" s="30"/>
      <c r="H13" s="30"/>
      <c r="I13" s="30"/>
      <c r="J13" s="30"/>
      <c r="K13" s="30"/>
      <c r="L13" s="30"/>
      <c r="M13" s="30"/>
      <c r="N13" s="30"/>
      <c r="O13" s="30"/>
      <c r="P13" s="30"/>
      <c r="Q13" s="30"/>
      <c r="R13" s="30"/>
    </row>
    <row r="14" spans="1:20" x14ac:dyDescent="0.3">
      <c r="B14" s="30"/>
      <c r="C14" s="30"/>
      <c r="D14" s="30"/>
      <c r="E14" s="30"/>
      <c r="F14" s="30"/>
      <c r="G14" s="30"/>
      <c r="H14" s="30"/>
      <c r="I14" s="30"/>
      <c r="J14" s="30"/>
      <c r="K14" s="30"/>
      <c r="L14" s="30"/>
      <c r="M14" s="30"/>
      <c r="N14" s="30"/>
      <c r="O14" s="30"/>
      <c r="P14" s="30"/>
      <c r="Q14" s="30"/>
      <c r="R14" s="30"/>
    </row>
    <row r="15" spans="1:20" x14ac:dyDescent="0.3">
      <c r="B15" s="30"/>
      <c r="C15" s="30"/>
      <c r="D15" s="30"/>
      <c r="E15" s="30"/>
      <c r="F15" s="30"/>
      <c r="G15" s="30"/>
      <c r="H15" s="30"/>
      <c r="I15" s="30"/>
      <c r="J15" s="30"/>
      <c r="K15" s="30"/>
      <c r="L15" s="30"/>
      <c r="M15" s="30"/>
      <c r="N15" s="30"/>
      <c r="O15" s="30"/>
      <c r="P15" s="30"/>
      <c r="Q15" s="30"/>
      <c r="R15" s="30"/>
    </row>
    <row r="16" spans="1:20" x14ac:dyDescent="0.3">
      <c r="B16" s="30"/>
      <c r="C16" s="30"/>
      <c r="D16" s="30"/>
      <c r="E16" s="30"/>
      <c r="F16" s="30"/>
      <c r="G16" s="30"/>
      <c r="H16" s="30"/>
      <c r="I16" s="30"/>
      <c r="J16" s="30"/>
      <c r="K16" s="30"/>
      <c r="L16" s="30"/>
      <c r="M16" s="30"/>
      <c r="N16" s="30"/>
      <c r="O16" s="30"/>
      <c r="P16" s="30"/>
      <c r="Q16" s="30"/>
      <c r="R16" s="30"/>
    </row>
    <row r="17" spans="2:18" x14ac:dyDescent="0.3">
      <c r="B17" s="30"/>
      <c r="C17" s="30"/>
      <c r="D17" s="30"/>
      <c r="E17" s="30"/>
      <c r="F17" s="30"/>
      <c r="G17" s="30"/>
      <c r="H17" s="30"/>
      <c r="I17" s="30"/>
      <c r="J17" s="30"/>
      <c r="K17" s="30"/>
      <c r="L17" s="30"/>
      <c r="M17" s="30"/>
      <c r="N17" s="30"/>
      <c r="O17" s="30"/>
      <c r="P17" s="30"/>
      <c r="Q17" s="30"/>
      <c r="R17" s="30"/>
    </row>
    <row r="18" spans="2:18" x14ac:dyDescent="0.3">
      <c r="B18" s="30"/>
      <c r="C18" s="30"/>
      <c r="D18" s="30"/>
      <c r="E18" s="30"/>
      <c r="F18" s="30"/>
      <c r="G18" s="30"/>
      <c r="H18" s="30"/>
      <c r="I18" s="30"/>
      <c r="J18" s="30"/>
      <c r="K18" s="30"/>
      <c r="L18" s="30"/>
      <c r="M18" s="30"/>
      <c r="N18" s="30"/>
      <c r="O18" s="30"/>
      <c r="P18" s="30"/>
      <c r="Q18" s="30"/>
      <c r="R18" s="30"/>
    </row>
    <row r="19" spans="2:18" x14ac:dyDescent="0.3">
      <c r="B19" s="30"/>
      <c r="C19" s="30"/>
      <c r="D19" s="30"/>
      <c r="E19" s="30"/>
      <c r="F19" s="30"/>
      <c r="G19" s="30"/>
      <c r="H19" s="30"/>
      <c r="I19" s="30"/>
      <c r="J19" s="30"/>
      <c r="K19" s="30"/>
      <c r="L19" s="30"/>
      <c r="M19" s="30"/>
      <c r="N19" s="30"/>
      <c r="O19" s="30"/>
      <c r="P19" s="30"/>
      <c r="Q19" s="30"/>
      <c r="R19" s="30"/>
    </row>
    <row r="20" spans="2:18" x14ac:dyDescent="0.3">
      <c r="B20" s="30"/>
      <c r="C20" s="30"/>
      <c r="D20" s="30"/>
      <c r="E20" s="30"/>
      <c r="F20" s="30"/>
      <c r="G20" s="30"/>
      <c r="H20" s="30"/>
      <c r="I20" s="30"/>
      <c r="J20" s="30"/>
      <c r="K20" s="30"/>
      <c r="L20" s="30"/>
      <c r="M20" s="30"/>
      <c r="N20" s="30"/>
      <c r="O20" s="30"/>
      <c r="P20" s="30"/>
      <c r="Q20" s="30"/>
      <c r="R20" s="30"/>
    </row>
    <row r="21" spans="2:18" x14ac:dyDescent="0.3">
      <c r="B21" s="30"/>
      <c r="C21" s="30"/>
      <c r="D21" s="30"/>
      <c r="E21" s="30"/>
      <c r="F21" s="30"/>
      <c r="G21" s="30"/>
      <c r="H21" s="30"/>
      <c r="I21" s="30"/>
      <c r="J21" s="30"/>
      <c r="K21" s="30"/>
      <c r="L21" s="30"/>
      <c r="M21" s="30"/>
      <c r="N21" s="30"/>
      <c r="O21" s="30"/>
      <c r="P21" s="30"/>
      <c r="Q21" s="30"/>
      <c r="R21" s="30"/>
    </row>
    <row r="22" spans="2:18" x14ac:dyDescent="0.3">
      <c r="B22" s="30"/>
      <c r="C22" s="30"/>
      <c r="D22" s="30"/>
      <c r="E22" s="30"/>
      <c r="F22" s="30"/>
      <c r="G22" s="30"/>
      <c r="H22" s="30"/>
      <c r="I22" s="30"/>
      <c r="J22" s="30"/>
      <c r="K22" s="30"/>
      <c r="L22" s="30"/>
      <c r="M22" s="30"/>
      <c r="N22" s="30"/>
      <c r="O22" s="30"/>
      <c r="P22" s="30"/>
      <c r="Q22" s="30"/>
      <c r="R22" s="30"/>
    </row>
    <row r="23" spans="2:18" x14ac:dyDescent="0.3">
      <c r="B23" s="30"/>
      <c r="C23" s="30"/>
      <c r="D23" s="30"/>
      <c r="E23" s="30"/>
      <c r="F23" s="30"/>
      <c r="G23" s="30"/>
      <c r="H23" s="30"/>
      <c r="I23" s="30"/>
      <c r="J23" s="30"/>
      <c r="K23" s="30"/>
      <c r="L23" s="30"/>
      <c r="M23" s="30"/>
      <c r="N23" s="30"/>
      <c r="O23" s="30"/>
      <c r="P23" s="30"/>
      <c r="Q23" s="30"/>
      <c r="R23" s="30"/>
    </row>
    <row r="24" spans="2:18" x14ac:dyDescent="0.3">
      <c r="B24" s="30"/>
      <c r="C24" s="30"/>
      <c r="D24" s="30"/>
      <c r="E24" s="30"/>
      <c r="F24" s="30"/>
      <c r="G24" s="30"/>
      <c r="H24" s="30"/>
      <c r="I24" s="30"/>
      <c r="J24" s="30"/>
      <c r="K24" s="30"/>
      <c r="L24" s="30"/>
      <c r="M24" s="30"/>
      <c r="N24" s="30"/>
      <c r="O24" s="30"/>
      <c r="P24" s="30"/>
      <c r="Q24" s="30"/>
      <c r="R24" s="30"/>
    </row>
    <row r="25" spans="2:18" x14ac:dyDescent="0.3">
      <c r="B25" s="30"/>
      <c r="C25" s="30"/>
      <c r="D25" s="30"/>
      <c r="E25" s="30"/>
      <c r="F25" s="30"/>
      <c r="G25" s="30"/>
      <c r="H25" s="30"/>
      <c r="I25" s="30"/>
      <c r="J25" s="30"/>
      <c r="K25" s="30"/>
      <c r="L25" s="30"/>
      <c r="M25" s="30"/>
      <c r="N25" s="30"/>
      <c r="O25" s="30"/>
      <c r="P25" s="30"/>
      <c r="Q25" s="30"/>
      <c r="R25" s="30"/>
    </row>
    <row r="26" spans="2:18" x14ac:dyDescent="0.3">
      <c r="B26" s="30"/>
      <c r="C26" s="30"/>
      <c r="D26" s="30"/>
      <c r="E26" s="30"/>
      <c r="F26" s="30"/>
      <c r="G26" s="30"/>
      <c r="H26" s="30"/>
      <c r="I26" s="30"/>
      <c r="J26" s="30"/>
      <c r="K26" s="30"/>
      <c r="L26" s="30"/>
      <c r="M26" s="30"/>
      <c r="N26" s="30"/>
      <c r="O26" s="30"/>
      <c r="P26" s="30"/>
      <c r="Q26" s="30"/>
      <c r="R26" s="30"/>
    </row>
    <row r="27" spans="2:18" x14ac:dyDescent="0.3">
      <c r="B27" s="30"/>
      <c r="C27" s="30"/>
      <c r="D27" s="30"/>
      <c r="E27" s="30"/>
      <c r="F27" s="30"/>
      <c r="G27" s="30"/>
      <c r="H27" s="30"/>
      <c r="I27" s="30"/>
      <c r="J27" s="30"/>
      <c r="K27" s="30"/>
      <c r="L27" s="30"/>
      <c r="M27" s="30"/>
      <c r="N27" s="30"/>
      <c r="O27" s="30"/>
      <c r="P27" s="30"/>
      <c r="Q27" s="30"/>
      <c r="R27" s="30"/>
    </row>
    <row r="28" spans="2:18" x14ac:dyDescent="0.3">
      <c r="B28" s="30"/>
      <c r="C28" s="30"/>
      <c r="D28" s="30"/>
      <c r="E28" s="30"/>
      <c r="F28" s="30"/>
      <c r="G28" s="30"/>
      <c r="H28" s="30"/>
      <c r="I28" s="30"/>
      <c r="J28" s="30"/>
      <c r="K28" s="30"/>
      <c r="L28" s="30"/>
      <c r="M28" s="30"/>
      <c r="N28" s="30"/>
      <c r="O28" s="30"/>
      <c r="P28" s="30"/>
      <c r="Q28" s="30"/>
      <c r="R28" s="30"/>
    </row>
    <row r="29" spans="2:18" x14ac:dyDescent="0.3">
      <c r="B29" s="30"/>
      <c r="C29" s="30"/>
      <c r="D29" s="30"/>
      <c r="E29" s="30"/>
      <c r="F29" s="30"/>
      <c r="G29" s="30"/>
      <c r="H29" s="30"/>
      <c r="I29" s="30"/>
      <c r="J29" s="30"/>
      <c r="K29" s="30"/>
      <c r="L29" s="30"/>
      <c r="M29" s="30"/>
      <c r="N29" s="30"/>
      <c r="O29" s="30"/>
      <c r="P29" s="30"/>
      <c r="Q29" s="30"/>
      <c r="R29" s="30"/>
    </row>
    <row r="30" spans="2:18" x14ac:dyDescent="0.3">
      <c r="B30" s="30"/>
      <c r="C30" s="30"/>
      <c r="D30" s="30"/>
      <c r="E30" s="30"/>
      <c r="F30" s="30"/>
      <c r="G30" s="30"/>
      <c r="H30" s="30"/>
      <c r="I30" s="30"/>
      <c r="J30" s="30"/>
      <c r="K30" s="30"/>
      <c r="L30" s="30"/>
      <c r="M30" s="30"/>
      <c r="N30" s="30"/>
      <c r="O30" s="30"/>
      <c r="P30" s="30"/>
      <c r="Q30" s="30"/>
      <c r="R30" s="30"/>
    </row>
    <row r="31" spans="2:18" x14ac:dyDescent="0.3">
      <c r="B31" s="30"/>
      <c r="C31" s="30"/>
      <c r="D31" s="30"/>
      <c r="E31" s="30"/>
      <c r="F31" s="30"/>
      <c r="G31" s="30"/>
      <c r="H31" s="30"/>
      <c r="I31" s="30"/>
      <c r="J31" s="30"/>
      <c r="K31" s="30"/>
      <c r="L31" s="30"/>
      <c r="M31" s="30"/>
      <c r="N31" s="30"/>
      <c r="O31" s="30"/>
      <c r="P31" s="30"/>
      <c r="Q31" s="30"/>
      <c r="R31" s="30"/>
    </row>
    <row r="32" spans="2:18" x14ac:dyDescent="0.3">
      <c r="B32" s="30"/>
      <c r="C32" s="30"/>
      <c r="D32" s="30"/>
      <c r="E32" s="30"/>
      <c r="F32" s="30"/>
      <c r="G32" s="30"/>
      <c r="H32" s="30"/>
      <c r="I32" s="30"/>
      <c r="J32" s="30"/>
      <c r="K32" s="30"/>
      <c r="L32" s="30"/>
      <c r="M32" s="30"/>
      <c r="N32" s="30"/>
      <c r="O32" s="30"/>
      <c r="P32" s="30"/>
      <c r="Q32" s="30"/>
      <c r="R32" s="30"/>
    </row>
    <row r="33" spans="2:18" x14ac:dyDescent="0.3">
      <c r="B33" s="30"/>
      <c r="C33" s="30"/>
      <c r="D33" s="30"/>
      <c r="E33" s="30"/>
      <c r="F33" s="30"/>
      <c r="G33" s="30"/>
      <c r="H33" s="30"/>
      <c r="I33" s="30"/>
      <c r="J33" s="30"/>
      <c r="K33" s="30"/>
      <c r="L33" s="30"/>
      <c r="M33" s="30"/>
      <c r="N33" s="30"/>
      <c r="O33" s="30"/>
      <c r="P33" s="30"/>
      <c r="Q33" s="30"/>
      <c r="R33" s="30"/>
    </row>
    <row r="34" spans="2:18" x14ac:dyDescent="0.3">
      <c r="B34" s="30"/>
      <c r="C34" s="30"/>
      <c r="D34" s="30"/>
      <c r="E34" s="30"/>
      <c r="F34" s="30"/>
      <c r="G34" s="30"/>
      <c r="H34" s="30"/>
      <c r="I34" s="30"/>
      <c r="J34" s="30"/>
      <c r="K34" s="30"/>
      <c r="L34" s="30"/>
      <c r="M34" s="30"/>
      <c r="N34" s="30"/>
      <c r="O34" s="30"/>
      <c r="P34" s="30"/>
      <c r="Q34" s="30"/>
      <c r="R34" s="30"/>
    </row>
    <row r="35" spans="2:18" x14ac:dyDescent="0.3">
      <c r="B35" s="30"/>
      <c r="C35" s="30"/>
      <c r="D35" s="30"/>
      <c r="E35" s="30"/>
      <c r="F35" s="30"/>
      <c r="G35" s="30"/>
      <c r="H35" s="30"/>
      <c r="I35" s="30"/>
      <c r="J35" s="30"/>
      <c r="K35" s="30"/>
      <c r="L35" s="30"/>
      <c r="M35" s="30"/>
      <c r="N35" s="30"/>
      <c r="O35" s="30"/>
      <c r="P35" s="30"/>
      <c r="Q35" s="30"/>
      <c r="R35" s="30"/>
    </row>
    <row r="36" spans="2:18" x14ac:dyDescent="0.3">
      <c r="B36" s="30"/>
      <c r="C36" s="30"/>
      <c r="D36" s="30"/>
      <c r="E36" s="30"/>
      <c r="F36" s="30"/>
      <c r="G36" s="30"/>
      <c r="H36" s="30"/>
      <c r="I36" s="30"/>
      <c r="J36" s="30"/>
      <c r="K36" s="30"/>
      <c r="L36" s="30"/>
      <c r="M36" s="30"/>
      <c r="N36" s="30"/>
      <c r="O36" s="30"/>
      <c r="P36" s="30"/>
      <c r="Q36" s="30"/>
      <c r="R36" s="30"/>
    </row>
    <row r="37" spans="2:18" x14ac:dyDescent="0.3">
      <c r="B37" s="30"/>
      <c r="C37" s="30"/>
      <c r="D37" s="30"/>
      <c r="E37" s="30"/>
      <c r="F37" s="30"/>
      <c r="G37" s="30"/>
      <c r="H37" s="30"/>
      <c r="I37" s="30"/>
      <c r="J37" s="30"/>
      <c r="K37" s="30"/>
      <c r="L37" s="30"/>
      <c r="M37" s="30"/>
      <c r="N37" s="30"/>
      <c r="O37" s="30"/>
      <c r="P37" s="30"/>
      <c r="Q37" s="30"/>
      <c r="R37" s="30"/>
    </row>
    <row r="38" spans="2:18" x14ac:dyDescent="0.3">
      <c r="B38" s="30"/>
      <c r="C38" s="30"/>
      <c r="D38" s="30"/>
      <c r="E38" s="30"/>
      <c r="F38" s="30"/>
      <c r="G38" s="30"/>
      <c r="H38" s="30"/>
      <c r="I38" s="30"/>
      <c r="J38" s="30"/>
      <c r="K38" s="30"/>
      <c r="L38" s="30"/>
      <c r="M38" s="30"/>
      <c r="N38" s="30"/>
      <c r="O38" s="30"/>
      <c r="P38" s="30"/>
      <c r="Q38" s="30"/>
      <c r="R38" s="30"/>
    </row>
    <row r="39" spans="2:18" x14ac:dyDescent="0.3">
      <c r="B39" s="30"/>
      <c r="C39" s="30"/>
      <c r="D39" s="30"/>
      <c r="E39" s="30"/>
      <c r="F39" s="30"/>
      <c r="G39" s="30"/>
      <c r="H39" s="30"/>
      <c r="I39" s="30"/>
      <c r="J39" s="30"/>
      <c r="K39" s="30"/>
      <c r="L39" s="30"/>
      <c r="M39" s="30"/>
      <c r="N39" s="30"/>
      <c r="O39" s="30"/>
      <c r="P39" s="30"/>
      <c r="Q39" s="30"/>
      <c r="R39" s="30"/>
    </row>
    <row r="40" spans="2:18" x14ac:dyDescent="0.3">
      <c r="B40" s="30"/>
      <c r="C40" s="30"/>
      <c r="D40" s="30"/>
      <c r="E40" s="30"/>
      <c r="F40" s="30"/>
      <c r="G40" s="30"/>
      <c r="H40" s="30"/>
      <c r="I40" s="30"/>
      <c r="J40" s="30"/>
      <c r="K40" s="30"/>
      <c r="L40" s="30"/>
      <c r="M40" s="30"/>
      <c r="N40" s="30"/>
      <c r="O40" s="30"/>
      <c r="P40" s="30"/>
      <c r="Q40" s="30"/>
      <c r="R40" s="30"/>
    </row>
    <row r="41" spans="2:18" x14ac:dyDescent="0.3">
      <c r="B41" s="30"/>
      <c r="C41" s="30"/>
      <c r="D41" s="30"/>
      <c r="E41" s="30"/>
      <c r="F41" s="30"/>
      <c r="G41" s="30"/>
      <c r="H41" s="30"/>
      <c r="I41" s="30"/>
      <c r="J41" s="30"/>
      <c r="K41" s="30"/>
      <c r="L41" s="30"/>
      <c r="M41" s="30"/>
      <c r="N41" s="30"/>
      <c r="O41" s="30"/>
      <c r="P41" s="30"/>
      <c r="Q41" s="30"/>
      <c r="R41" s="30"/>
    </row>
    <row r="42" spans="2:18" x14ac:dyDescent="0.3">
      <c r="B42" s="30"/>
      <c r="C42" s="30"/>
      <c r="D42" s="30"/>
      <c r="E42" s="30"/>
      <c r="F42" s="30"/>
      <c r="G42" s="30"/>
      <c r="H42" s="30"/>
      <c r="I42" s="30"/>
      <c r="J42" s="30"/>
      <c r="K42" s="30"/>
      <c r="L42" s="30"/>
      <c r="M42" s="30"/>
      <c r="N42" s="30"/>
      <c r="O42" s="30"/>
      <c r="P42" s="30"/>
      <c r="Q42" s="30"/>
      <c r="R42" s="30"/>
    </row>
    <row r="43" spans="2:18" x14ac:dyDescent="0.3">
      <c r="B43" s="30"/>
      <c r="C43" s="30"/>
      <c r="D43" s="30"/>
      <c r="E43" s="30"/>
      <c r="F43" s="30"/>
      <c r="G43" s="30"/>
      <c r="H43" s="30"/>
      <c r="I43" s="30"/>
      <c r="J43" s="30"/>
      <c r="K43" s="30"/>
      <c r="L43" s="30"/>
      <c r="M43" s="30"/>
      <c r="N43" s="30"/>
      <c r="O43" s="30"/>
      <c r="P43" s="30"/>
      <c r="Q43" s="30"/>
      <c r="R43" s="30"/>
    </row>
    <row r="44" spans="2:18" x14ac:dyDescent="0.3">
      <c r="B44" s="30"/>
      <c r="C44" s="30"/>
      <c r="D44" s="30"/>
      <c r="E44" s="30"/>
      <c r="F44" s="30"/>
      <c r="G44" s="30"/>
      <c r="H44" s="30"/>
      <c r="I44" s="30"/>
      <c r="J44" s="30"/>
      <c r="K44" s="30"/>
      <c r="L44" s="30"/>
      <c r="M44" s="30"/>
      <c r="N44" s="30"/>
      <c r="O44" s="30"/>
      <c r="P44" s="30"/>
      <c r="Q44" s="30"/>
      <c r="R44" s="30"/>
    </row>
    <row r="45" spans="2:18" x14ac:dyDescent="0.3">
      <c r="B45" s="30"/>
      <c r="C45" s="30"/>
      <c r="D45" s="30"/>
      <c r="E45" s="30"/>
      <c r="F45" s="30"/>
      <c r="G45" s="30"/>
      <c r="H45" s="30"/>
      <c r="I45" s="30"/>
      <c r="J45" s="30"/>
      <c r="K45" s="30"/>
      <c r="L45" s="30"/>
      <c r="M45" s="30"/>
      <c r="N45" s="30"/>
      <c r="O45" s="30"/>
      <c r="P45" s="30"/>
      <c r="Q45" s="30"/>
      <c r="R45" s="30"/>
    </row>
    <row r="46" spans="2:18" x14ac:dyDescent="0.3">
      <c r="B46" s="30"/>
      <c r="C46" s="30"/>
      <c r="D46" s="30"/>
      <c r="E46" s="30"/>
      <c r="F46" s="30"/>
      <c r="G46" s="30"/>
      <c r="H46" s="30"/>
      <c r="I46" s="30"/>
      <c r="J46" s="30"/>
      <c r="K46" s="30"/>
      <c r="L46" s="30"/>
      <c r="M46" s="30"/>
      <c r="N46" s="30"/>
      <c r="O46" s="30"/>
      <c r="P46" s="30"/>
      <c r="Q46" s="30"/>
      <c r="R46" s="30"/>
    </row>
    <row r="47" spans="2:18" x14ac:dyDescent="0.3">
      <c r="B47" s="30"/>
      <c r="C47" s="30"/>
      <c r="D47" s="30"/>
      <c r="E47" s="30"/>
      <c r="F47" s="30"/>
      <c r="G47" s="30"/>
      <c r="H47" s="30"/>
      <c r="I47" s="30"/>
      <c r="J47" s="30"/>
      <c r="K47" s="30"/>
      <c r="L47" s="30"/>
      <c r="M47" s="30"/>
      <c r="N47" s="30"/>
      <c r="O47" s="30"/>
      <c r="P47" s="30"/>
      <c r="Q47" s="30"/>
      <c r="R47" s="30"/>
    </row>
    <row r="48" spans="2:18" x14ac:dyDescent="0.3">
      <c r="B48" s="30"/>
      <c r="C48" s="30"/>
      <c r="D48" s="30"/>
      <c r="E48" s="30"/>
      <c r="F48" s="30"/>
      <c r="G48" s="30"/>
      <c r="H48" s="30"/>
      <c r="I48" s="30"/>
      <c r="J48" s="30"/>
      <c r="K48" s="30"/>
      <c r="L48" s="30"/>
      <c r="M48" s="30"/>
      <c r="N48" s="30"/>
      <c r="O48" s="30"/>
      <c r="P48" s="30"/>
      <c r="Q48" s="30"/>
      <c r="R48" s="30"/>
    </row>
    <row r="49" spans="2:18" x14ac:dyDescent="0.3">
      <c r="B49" s="30"/>
      <c r="C49" s="30"/>
      <c r="D49" s="30"/>
      <c r="E49" s="30"/>
      <c r="F49" s="30"/>
      <c r="G49" s="30"/>
      <c r="H49" s="30"/>
      <c r="I49" s="30"/>
      <c r="J49" s="30"/>
      <c r="K49" s="30"/>
      <c r="L49" s="30"/>
      <c r="M49" s="30"/>
      <c r="N49" s="30"/>
      <c r="O49" s="30"/>
      <c r="P49" s="30"/>
      <c r="Q49" s="30"/>
      <c r="R49" s="30"/>
    </row>
    <row r="50" spans="2:18" x14ac:dyDescent="0.3">
      <c r="B50" s="30"/>
      <c r="C50" s="30"/>
      <c r="D50" s="30"/>
      <c r="E50" s="30"/>
      <c r="F50" s="30"/>
      <c r="G50" s="30"/>
      <c r="H50" s="30"/>
      <c r="I50" s="30"/>
      <c r="J50" s="30"/>
      <c r="K50" s="30"/>
      <c r="L50" s="30"/>
      <c r="M50" s="30"/>
      <c r="N50" s="30"/>
      <c r="O50" s="30"/>
      <c r="P50" s="30"/>
      <c r="Q50" s="30"/>
      <c r="R50" s="30"/>
    </row>
    <row r="51" spans="2:18" x14ac:dyDescent="0.3">
      <c r="B51" s="30"/>
      <c r="C51" s="30"/>
      <c r="D51" s="30"/>
      <c r="E51" s="30"/>
      <c r="F51" s="30"/>
      <c r="G51" s="30"/>
      <c r="H51" s="30"/>
      <c r="I51" s="30"/>
      <c r="J51" s="30"/>
      <c r="K51" s="30"/>
      <c r="L51" s="30"/>
      <c r="M51" s="30"/>
      <c r="N51" s="30"/>
      <c r="O51" s="30"/>
      <c r="P51" s="30"/>
      <c r="Q51" s="30"/>
      <c r="R51" s="30"/>
    </row>
    <row r="52" spans="2:18" x14ac:dyDescent="0.3">
      <c r="B52" s="30"/>
      <c r="C52" s="30"/>
      <c r="D52" s="30"/>
      <c r="E52" s="30"/>
      <c r="F52" s="30"/>
      <c r="G52" s="30"/>
      <c r="H52" s="30"/>
      <c r="I52" s="30"/>
      <c r="J52" s="30"/>
      <c r="K52" s="30"/>
      <c r="L52" s="30"/>
      <c r="M52" s="30"/>
      <c r="N52" s="30"/>
      <c r="O52" s="30"/>
      <c r="P52" s="30"/>
      <c r="Q52" s="30"/>
      <c r="R52" s="30"/>
    </row>
    <row r="53" spans="2:18" x14ac:dyDescent="0.3">
      <c r="B53" s="30"/>
      <c r="C53" s="30"/>
      <c r="D53" s="30"/>
      <c r="E53" s="30"/>
      <c r="F53" s="30"/>
      <c r="G53" s="30"/>
      <c r="H53" s="30"/>
      <c r="I53" s="30"/>
      <c r="J53" s="30"/>
      <c r="K53" s="30"/>
      <c r="L53" s="30"/>
      <c r="M53" s="30"/>
      <c r="N53" s="30"/>
      <c r="O53" s="30"/>
      <c r="P53" s="30"/>
      <c r="Q53" s="30"/>
      <c r="R53" s="30"/>
    </row>
    <row r="54" spans="2:18" x14ac:dyDescent="0.3">
      <c r="B54" s="30"/>
      <c r="C54" s="30"/>
      <c r="D54" s="30"/>
      <c r="E54" s="30"/>
      <c r="F54" s="30"/>
      <c r="G54" s="30"/>
      <c r="H54" s="30"/>
      <c r="I54" s="30"/>
      <c r="J54" s="30"/>
      <c r="K54" s="30"/>
      <c r="L54" s="30"/>
      <c r="M54" s="30"/>
      <c r="N54" s="30"/>
      <c r="O54" s="30"/>
      <c r="P54" s="30"/>
      <c r="Q54" s="30"/>
      <c r="R54" s="30"/>
    </row>
    <row r="55" spans="2:18" x14ac:dyDescent="0.3">
      <c r="B55" s="30"/>
      <c r="C55" s="30"/>
      <c r="D55" s="30"/>
      <c r="E55" s="30"/>
      <c r="F55" s="30"/>
      <c r="G55" s="30"/>
      <c r="H55" s="30"/>
      <c r="I55" s="30"/>
      <c r="J55" s="30"/>
      <c r="K55" s="30"/>
      <c r="L55" s="30"/>
      <c r="M55" s="30"/>
      <c r="N55" s="30"/>
      <c r="O55" s="30"/>
      <c r="P55" s="30"/>
      <c r="Q55" s="30"/>
      <c r="R55" s="30"/>
    </row>
    <row r="56" spans="2:18" x14ac:dyDescent="0.3">
      <c r="B56" s="30"/>
      <c r="C56" s="30"/>
      <c r="D56" s="30"/>
      <c r="E56" s="30"/>
      <c r="F56" s="30"/>
      <c r="G56" s="30"/>
      <c r="H56" s="30"/>
      <c r="I56" s="30"/>
      <c r="J56" s="30"/>
      <c r="K56" s="30"/>
      <c r="L56" s="30"/>
      <c r="M56" s="30"/>
      <c r="N56" s="30"/>
      <c r="O56" s="30"/>
      <c r="P56" s="30"/>
      <c r="Q56" s="30"/>
      <c r="R56" s="30"/>
    </row>
    <row r="57" spans="2:18" x14ac:dyDescent="0.3">
      <c r="B57" s="30"/>
      <c r="C57" s="30"/>
      <c r="D57" s="30"/>
      <c r="E57" s="30"/>
      <c r="F57" s="30"/>
      <c r="G57" s="30"/>
      <c r="H57" s="30"/>
      <c r="I57" s="30"/>
      <c r="J57" s="30"/>
      <c r="K57" s="30"/>
      <c r="L57" s="30"/>
      <c r="M57" s="30"/>
      <c r="N57" s="30"/>
      <c r="O57" s="30"/>
      <c r="P57" s="30"/>
      <c r="Q57" s="30"/>
      <c r="R57" s="30"/>
    </row>
    <row r="58" spans="2:18" x14ac:dyDescent="0.3">
      <c r="B58" s="30"/>
      <c r="C58" s="30"/>
      <c r="D58" s="30"/>
      <c r="E58" s="30"/>
      <c r="F58" s="30"/>
      <c r="G58" s="30"/>
      <c r="H58" s="30"/>
      <c r="I58" s="30"/>
      <c r="J58" s="30"/>
      <c r="K58" s="30"/>
      <c r="L58" s="30"/>
      <c r="M58" s="30"/>
      <c r="N58" s="30"/>
      <c r="O58" s="30"/>
      <c r="P58" s="30"/>
      <c r="Q58" s="30"/>
      <c r="R58" s="30"/>
    </row>
    <row r="59" spans="2:18" x14ac:dyDescent="0.3">
      <c r="B59" s="30"/>
      <c r="C59" s="30"/>
      <c r="D59" s="30"/>
      <c r="E59" s="30"/>
      <c r="F59" s="30"/>
      <c r="G59" s="30"/>
      <c r="H59" s="30"/>
      <c r="I59" s="30"/>
      <c r="J59" s="30"/>
      <c r="K59" s="30"/>
      <c r="L59" s="30"/>
      <c r="M59" s="30"/>
      <c r="N59" s="30"/>
      <c r="O59" s="30"/>
      <c r="P59" s="30"/>
      <c r="Q59" s="30"/>
      <c r="R59" s="30"/>
    </row>
    <row r="60" spans="2:18" x14ac:dyDescent="0.3">
      <c r="B60" s="30"/>
      <c r="C60" s="30"/>
      <c r="D60" s="30"/>
      <c r="E60" s="30"/>
      <c r="F60" s="30"/>
      <c r="G60" s="30"/>
      <c r="H60" s="30"/>
      <c r="I60" s="30"/>
      <c r="J60" s="30"/>
      <c r="K60" s="30"/>
      <c r="L60" s="30"/>
      <c r="M60" s="30"/>
      <c r="N60" s="30"/>
      <c r="O60" s="30"/>
      <c r="P60" s="30"/>
      <c r="Q60" s="30"/>
      <c r="R60" s="30"/>
    </row>
    <row r="61" spans="2:18" x14ac:dyDescent="0.3">
      <c r="B61" s="30"/>
      <c r="C61" s="30"/>
      <c r="D61" s="30"/>
      <c r="E61" s="30"/>
      <c r="F61" s="30"/>
      <c r="G61" s="30"/>
      <c r="H61" s="30"/>
      <c r="I61" s="30"/>
      <c r="J61" s="30"/>
      <c r="K61" s="30"/>
      <c r="L61" s="30"/>
      <c r="M61" s="30"/>
      <c r="N61" s="30"/>
      <c r="O61" s="30"/>
      <c r="P61" s="30"/>
      <c r="Q61" s="30"/>
      <c r="R61" s="30"/>
    </row>
    <row r="62" spans="2:18" x14ac:dyDescent="0.3">
      <c r="B62" s="30"/>
      <c r="C62" s="30"/>
      <c r="D62" s="30"/>
      <c r="E62" s="30"/>
      <c r="F62" s="30"/>
      <c r="G62" s="30"/>
      <c r="H62" s="30"/>
      <c r="I62" s="30"/>
      <c r="J62" s="30"/>
      <c r="K62" s="30"/>
      <c r="L62" s="30"/>
      <c r="M62" s="30"/>
      <c r="N62" s="30"/>
      <c r="O62" s="30"/>
      <c r="P62" s="30"/>
      <c r="Q62" s="30"/>
      <c r="R62" s="30"/>
    </row>
    <row r="63" spans="2:18" x14ac:dyDescent="0.3">
      <c r="B63" s="30"/>
      <c r="C63" s="30"/>
      <c r="D63" s="30"/>
      <c r="E63" s="30"/>
      <c r="F63" s="30"/>
      <c r="G63" s="30"/>
      <c r="H63" s="30"/>
      <c r="I63" s="30"/>
      <c r="J63" s="30"/>
      <c r="K63" s="30"/>
      <c r="L63" s="30"/>
      <c r="M63" s="30"/>
      <c r="N63" s="30"/>
      <c r="O63" s="30"/>
      <c r="P63" s="30"/>
      <c r="Q63" s="30"/>
      <c r="R63" s="30"/>
    </row>
    <row r="64" spans="2:18" x14ac:dyDescent="0.3">
      <c r="B64" s="30"/>
      <c r="C64" s="30"/>
      <c r="D64" s="30"/>
      <c r="E64" s="30"/>
      <c r="F64" s="30"/>
      <c r="G64" s="30"/>
      <c r="H64" s="30"/>
      <c r="I64" s="30"/>
      <c r="J64" s="30"/>
      <c r="K64" s="30"/>
      <c r="L64" s="30"/>
      <c r="M64" s="30"/>
      <c r="N64" s="30"/>
      <c r="O64" s="30"/>
      <c r="P64" s="30"/>
      <c r="Q64" s="30"/>
      <c r="R64" s="30"/>
    </row>
    <row r="65" spans="2:18" x14ac:dyDescent="0.3">
      <c r="B65" s="30"/>
      <c r="C65" s="30"/>
      <c r="D65" s="30"/>
      <c r="E65" s="30"/>
      <c r="F65" s="30"/>
      <c r="G65" s="30"/>
      <c r="H65" s="30"/>
      <c r="I65" s="30"/>
      <c r="J65" s="30"/>
      <c r="K65" s="30"/>
      <c r="L65" s="30"/>
      <c r="M65" s="30"/>
      <c r="N65" s="30"/>
      <c r="O65" s="30"/>
      <c r="P65" s="30"/>
      <c r="Q65" s="30"/>
      <c r="R65" s="30"/>
    </row>
    <row r="66" spans="2:18" x14ac:dyDescent="0.3">
      <c r="B66" s="30"/>
      <c r="C66" s="30"/>
      <c r="D66" s="30"/>
      <c r="E66" s="30"/>
      <c r="F66" s="30"/>
      <c r="G66" s="30"/>
      <c r="H66" s="30"/>
      <c r="I66" s="30"/>
      <c r="J66" s="30"/>
      <c r="K66" s="30"/>
      <c r="L66" s="30"/>
      <c r="M66" s="30"/>
      <c r="N66" s="30"/>
      <c r="O66" s="30"/>
      <c r="P66" s="30"/>
      <c r="Q66" s="30"/>
      <c r="R66" s="30"/>
    </row>
    <row r="67" spans="2:18" x14ac:dyDescent="0.3">
      <c r="B67" s="30"/>
      <c r="C67" s="30"/>
      <c r="D67" s="30"/>
      <c r="E67" s="30"/>
      <c r="F67" s="30"/>
      <c r="G67" s="30"/>
      <c r="H67" s="30"/>
      <c r="I67" s="30"/>
      <c r="J67" s="30"/>
      <c r="K67" s="30"/>
      <c r="L67" s="30"/>
      <c r="M67" s="30"/>
      <c r="N67" s="30"/>
      <c r="O67" s="30"/>
      <c r="P67" s="30"/>
      <c r="Q67" s="30"/>
      <c r="R67" s="30"/>
    </row>
    <row r="68" spans="2:18" x14ac:dyDescent="0.3">
      <c r="B68" s="30"/>
      <c r="C68" s="30"/>
      <c r="D68" s="30"/>
      <c r="E68" s="30"/>
      <c r="F68" s="30"/>
      <c r="G68" s="30"/>
      <c r="H68" s="30"/>
      <c r="I68" s="30"/>
      <c r="J68" s="30"/>
      <c r="K68" s="30"/>
      <c r="L68" s="30"/>
      <c r="M68" s="30"/>
      <c r="N68" s="30"/>
      <c r="O68" s="30"/>
      <c r="P68" s="30"/>
      <c r="Q68" s="30"/>
      <c r="R68" s="30"/>
    </row>
    <row r="69" spans="2:18" x14ac:dyDescent="0.3">
      <c r="B69" s="30"/>
      <c r="C69" s="30"/>
      <c r="D69" s="30"/>
      <c r="E69" s="30"/>
      <c r="F69" s="30"/>
      <c r="G69" s="30"/>
      <c r="H69" s="30"/>
      <c r="I69" s="30"/>
      <c r="J69" s="30"/>
      <c r="K69" s="30"/>
      <c r="L69" s="30"/>
      <c r="M69" s="30"/>
      <c r="N69" s="30"/>
      <c r="O69" s="30"/>
      <c r="P69" s="30"/>
      <c r="Q69" s="30"/>
      <c r="R69" s="30"/>
    </row>
    <row r="70" spans="2:18" x14ac:dyDescent="0.3">
      <c r="B70" s="30"/>
      <c r="C70" s="30"/>
      <c r="D70" s="30"/>
      <c r="E70" s="30"/>
      <c r="F70" s="30"/>
      <c r="G70" s="30"/>
      <c r="H70" s="30"/>
      <c r="I70" s="30"/>
      <c r="J70" s="30"/>
      <c r="K70" s="30"/>
      <c r="L70" s="30"/>
      <c r="M70" s="30"/>
      <c r="N70" s="30"/>
      <c r="O70" s="30"/>
      <c r="P70" s="30"/>
      <c r="Q70" s="30"/>
      <c r="R70" s="30"/>
    </row>
    <row r="71" spans="2:18" x14ac:dyDescent="0.3">
      <c r="B71" s="30"/>
      <c r="C71" s="30"/>
      <c r="D71" s="30"/>
      <c r="E71" s="30"/>
      <c r="F71" s="30"/>
      <c r="G71" s="30"/>
      <c r="H71" s="30"/>
      <c r="I71" s="30"/>
      <c r="J71" s="30"/>
      <c r="K71" s="30"/>
      <c r="L71" s="30"/>
      <c r="M71" s="30"/>
      <c r="N71" s="30"/>
      <c r="O71" s="30"/>
      <c r="P71" s="30"/>
      <c r="Q71" s="30"/>
      <c r="R71" s="30"/>
    </row>
    <row r="72" spans="2:18" x14ac:dyDescent="0.3">
      <c r="B72" s="30"/>
      <c r="C72" s="30"/>
      <c r="D72" s="30"/>
      <c r="E72" s="30"/>
      <c r="F72" s="30"/>
      <c r="G72" s="30"/>
      <c r="H72" s="30"/>
      <c r="I72" s="30"/>
      <c r="J72" s="30"/>
      <c r="K72" s="30"/>
      <c r="L72" s="30"/>
      <c r="M72" s="30"/>
      <c r="N72" s="30"/>
      <c r="O72" s="30"/>
      <c r="P72" s="30"/>
      <c r="Q72" s="30"/>
      <c r="R72" s="30"/>
    </row>
    <row r="73" spans="2:18" x14ac:dyDescent="0.3">
      <c r="B73" s="30"/>
      <c r="C73" s="30"/>
      <c r="D73" s="30"/>
      <c r="E73" s="30"/>
      <c r="F73" s="30"/>
      <c r="G73" s="30"/>
      <c r="H73" s="30"/>
      <c r="I73" s="30"/>
      <c r="J73" s="30"/>
      <c r="K73" s="30"/>
      <c r="L73" s="30"/>
      <c r="M73" s="30"/>
      <c r="N73" s="30"/>
      <c r="O73" s="30"/>
      <c r="P73" s="30"/>
      <c r="Q73" s="30"/>
      <c r="R73" s="30"/>
    </row>
    <row r="74" spans="2:18" x14ac:dyDescent="0.3">
      <c r="B74" s="30"/>
      <c r="C74" s="30"/>
      <c r="D74" s="30"/>
      <c r="E74" s="30"/>
      <c r="F74" s="30"/>
      <c r="G74" s="30"/>
      <c r="H74" s="30"/>
      <c r="I74" s="30"/>
      <c r="J74" s="30"/>
      <c r="K74" s="30"/>
      <c r="L74" s="30"/>
      <c r="M74" s="30"/>
      <c r="N74" s="30"/>
      <c r="O74" s="30"/>
      <c r="P74" s="30"/>
      <c r="Q74" s="30"/>
      <c r="R74" s="30"/>
    </row>
    <row r="75" spans="2:18" x14ac:dyDescent="0.3">
      <c r="B75" s="30"/>
      <c r="C75" s="30"/>
      <c r="D75" s="30"/>
      <c r="E75" s="30"/>
      <c r="F75" s="30"/>
      <c r="G75" s="30"/>
      <c r="H75" s="30"/>
      <c r="I75" s="30"/>
      <c r="J75" s="30"/>
      <c r="K75" s="30"/>
      <c r="L75" s="30"/>
      <c r="M75" s="30"/>
      <c r="N75" s="30"/>
      <c r="O75" s="30"/>
      <c r="P75" s="30"/>
      <c r="Q75" s="30"/>
      <c r="R75" s="30"/>
    </row>
    <row r="76" spans="2:18" x14ac:dyDescent="0.3">
      <c r="B76" s="30"/>
      <c r="C76" s="30"/>
      <c r="D76" s="30"/>
      <c r="E76" s="30"/>
      <c r="F76" s="30"/>
      <c r="G76" s="30"/>
      <c r="H76" s="30"/>
      <c r="I76" s="30"/>
      <c r="J76" s="30"/>
      <c r="K76" s="30"/>
      <c r="L76" s="30"/>
      <c r="M76" s="30"/>
      <c r="N76" s="30"/>
      <c r="O76" s="30"/>
      <c r="P76" s="30"/>
      <c r="Q76" s="30"/>
      <c r="R76" s="30"/>
    </row>
    <row r="77" spans="2:18" x14ac:dyDescent="0.3">
      <c r="B77" s="30"/>
      <c r="C77" s="30"/>
      <c r="D77" s="30"/>
      <c r="E77" s="30"/>
      <c r="F77" s="30"/>
      <c r="G77" s="30"/>
      <c r="H77" s="30"/>
      <c r="I77" s="30"/>
      <c r="J77" s="30"/>
      <c r="K77" s="30"/>
      <c r="L77" s="30"/>
      <c r="M77" s="30"/>
      <c r="N77" s="30"/>
      <c r="O77" s="30"/>
      <c r="P77" s="30"/>
      <c r="Q77" s="30"/>
      <c r="R77" s="30"/>
    </row>
    <row r="78" spans="2:18" x14ac:dyDescent="0.3">
      <c r="B78" s="30"/>
      <c r="C78" s="30"/>
      <c r="D78" s="30"/>
      <c r="E78" s="30"/>
      <c r="F78" s="30"/>
      <c r="G78" s="30"/>
      <c r="H78" s="30"/>
      <c r="I78" s="30"/>
      <c r="J78" s="30"/>
      <c r="K78" s="30"/>
      <c r="L78" s="30"/>
      <c r="M78" s="30"/>
      <c r="N78" s="30"/>
      <c r="O78" s="30"/>
      <c r="P78" s="30"/>
      <c r="Q78" s="30"/>
      <c r="R78" s="30"/>
    </row>
    <row r="79" spans="2:18" x14ac:dyDescent="0.3">
      <c r="B79" s="30"/>
      <c r="C79" s="30"/>
      <c r="D79" s="30"/>
      <c r="E79" s="30"/>
      <c r="F79" s="30"/>
      <c r="G79" s="30"/>
      <c r="H79" s="30"/>
      <c r="I79" s="30"/>
      <c r="J79" s="30"/>
      <c r="K79" s="30"/>
      <c r="L79" s="30"/>
      <c r="M79" s="30"/>
      <c r="N79" s="30"/>
      <c r="O79" s="30"/>
      <c r="P79" s="30"/>
      <c r="Q79" s="30"/>
      <c r="R79" s="30"/>
    </row>
    <row r="80" spans="2:18" x14ac:dyDescent="0.3">
      <c r="B80" s="30"/>
      <c r="C80" s="30"/>
      <c r="D80" s="30"/>
      <c r="E80" s="30"/>
      <c r="F80" s="30"/>
      <c r="G80" s="30"/>
      <c r="H80" s="30"/>
      <c r="I80" s="30"/>
      <c r="J80" s="30"/>
      <c r="K80" s="30"/>
      <c r="L80" s="30"/>
      <c r="M80" s="30"/>
      <c r="N80" s="30"/>
      <c r="O80" s="30"/>
      <c r="P80" s="30"/>
      <c r="Q80" s="30"/>
      <c r="R80" s="30"/>
    </row>
    <row r="81" spans="2:18" x14ac:dyDescent="0.3">
      <c r="B81" s="30"/>
      <c r="C81" s="30"/>
      <c r="D81" s="30"/>
      <c r="E81" s="30"/>
      <c r="F81" s="30"/>
      <c r="G81" s="30"/>
      <c r="H81" s="30"/>
      <c r="I81" s="30"/>
      <c r="J81" s="30"/>
      <c r="K81" s="30"/>
      <c r="L81" s="30"/>
      <c r="M81" s="30"/>
      <c r="N81" s="30"/>
      <c r="O81" s="30"/>
      <c r="P81" s="30"/>
      <c r="Q81" s="30"/>
      <c r="R81" s="30"/>
    </row>
    <row r="82" spans="2:18" x14ac:dyDescent="0.3">
      <c r="B82" s="30"/>
      <c r="C82" s="30"/>
      <c r="D82" s="30"/>
      <c r="E82" s="30"/>
      <c r="F82" s="30"/>
      <c r="G82" s="30"/>
      <c r="H82" s="30"/>
      <c r="I82" s="30"/>
      <c r="J82" s="30"/>
      <c r="K82" s="30"/>
      <c r="L82" s="30"/>
      <c r="M82" s="30"/>
      <c r="N82" s="30"/>
      <c r="O82" s="30"/>
      <c r="P82" s="30"/>
      <c r="Q82" s="30"/>
      <c r="R82" s="30"/>
    </row>
    <row r="83" spans="2:18" x14ac:dyDescent="0.3">
      <c r="B83" s="30"/>
      <c r="C83" s="30"/>
      <c r="D83" s="30"/>
      <c r="E83" s="30"/>
      <c r="F83" s="30"/>
      <c r="G83" s="30"/>
      <c r="H83" s="30"/>
      <c r="I83" s="30"/>
      <c r="J83" s="30"/>
      <c r="K83" s="30"/>
      <c r="L83" s="30"/>
      <c r="M83" s="30"/>
      <c r="N83" s="30"/>
      <c r="O83" s="30"/>
      <c r="P83" s="30"/>
      <c r="Q83" s="30"/>
      <c r="R83" s="30"/>
    </row>
    <row r="84" spans="2:18" x14ac:dyDescent="0.3">
      <c r="B84" s="30"/>
      <c r="C84" s="30"/>
      <c r="D84" s="30"/>
      <c r="E84" s="30"/>
      <c r="F84" s="30"/>
      <c r="G84" s="30"/>
      <c r="H84" s="30"/>
      <c r="I84" s="30"/>
      <c r="J84" s="30"/>
      <c r="K84" s="30"/>
      <c r="L84" s="30"/>
      <c r="M84" s="30"/>
      <c r="N84" s="30"/>
      <c r="O84" s="30"/>
      <c r="P84" s="30"/>
      <c r="Q84" s="30"/>
      <c r="R84" s="30"/>
    </row>
    <row r="85" spans="2:18" x14ac:dyDescent="0.3">
      <c r="B85" s="30"/>
      <c r="C85" s="30"/>
      <c r="D85" s="30"/>
      <c r="E85" s="30"/>
      <c r="F85" s="30"/>
      <c r="G85" s="30"/>
      <c r="H85" s="30"/>
      <c r="I85" s="30"/>
      <c r="J85" s="30"/>
      <c r="K85" s="30"/>
      <c r="L85" s="30"/>
      <c r="M85" s="30"/>
      <c r="N85" s="30"/>
      <c r="O85" s="30"/>
      <c r="P85" s="30"/>
      <c r="Q85" s="30"/>
      <c r="R85" s="30"/>
    </row>
    <row r="86" spans="2:18" x14ac:dyDescent="0.3">
      <c r="B86" s="30"/>
      <c r="C86" s="30"/>
      <c r="D86" s="30"/>
      <c r="E86" s="30"/>
      <c r="F86" s="30"/>
      <c r="G86" s="30"/>
      <c r="H86" s="30"/>
      <c r="I86" s="30"/>
      <c r="J86" s="30"/>
      <c r="K86" s="30"/>
      <c r="L86" s="30"/>
      <c r="M86" s="30"/>
      <c r="N86" s="30"/>
      <c r="O86" s="30"/>
      <c r="P86" s="30"/>
      <c r="Q86" s="30"/>
      <c r="R86" s="30"/>
    </row>
    <row r="87" spans="2:18" x14ac:dyDescent="0.3">
      <c r="B87" s="30"/>
      <c r="C87" s="30"/>
      <c r="D87" s="30"/>
      <c r="E87" s="30"/>
      <c r="F87" s="30"/>
      <c r="G87" s="30"/>
      <c r="H87" s="30"/>
      <c r="I87" s="30"/>
      <c r="J87" s="30"/>
      <c r="K87" s="30"/>
      <c r="L87" s="30"/>
      <c r="M87" s="30"/>
      <c r="N87" s="30"/>
      <c r="O87" s="30"/>
      <c r="P87" s="30"/>
      <c r="Q87" s="30"/>
      <c r="R87" s="30"/>
    </row>
    <row r="88" spans="2:18" x14ac:dyDescent="0.3">
      <c r="B88" s="30"/>
      <c r="C88" s="30"/>
      <c r="D88" s="30"/>
      <c r="E88" s="30"/>
      <c r="F88" s="30"/>
      <c r="G88" s="30"/>
      <c r="H88" s="30"/>
      <c r="I88" s="30"/>
      <c r="J88" s="30"/>
      <c r="K88" s="30"/>
      <c r="L88" s="30"/>
      <c r="M88" s="30"/>
      <c r="N88" s="30"/>
      <c r="O88" s="30"/>
      <c r="P88" s="30"/>
      <c r="Q88" s="30"/>
      <c r="R88" s="30"/>
    </row>
    <row r="89" spans="2:18" x14ac:dyDescent="0.3">
      <c r="B89" s="30"/>
      <c r="C89" s="30"/>
      <c r="D89" s="30"/>
      <c r="E89" s="30"/>
      <c r="F89" s="30"/>
      <c r="G89" s="30"/>
      <c r="H89" s="30"/>
      <c r="I89" s="30"/>
      <c r="J89" s="30"/>
      <c r="K89" s="30"/>
      <c r="L89" s="30"/>
      <c r="M89" s="30"/>
      <c r="N89" s="30"/>
      <c r="O89" s="30"/>
      <c r="P89" s="30"/>
      <c r="Q89" s="30"/>
      <c r="R89" s="30"/>
    </row>
    <row r="90" spans="2:18" x14ac:dyDescent="0.3">
      <c r="B90" s="30"/>
      <c r="C90" s="30"/>
      <c r="D90" s="30"/>
      <c r="E90" s="30"/>
      <c r="F90" s="30"/>
      <c r="G90" s="30"/>
      <c r="H90" s="30"/>
      <c r="I90" s="30"/>
      <c r="J90" s="30"/>
      <c r="K90" s="30"/>
      <c r="L90" s="30"/>
      <c r="M90" s="30"/>
      <c r="N90" s="30"/>
      <c r="O90" s="30"/>
      <c r="P90" s="30"/>
      <c r="Q90" s="30"/>
      <c r="R90" s="30"/>
    </row>
    <row r="91" spans="2:18" x14ac:dyDescent="0.3">
      <c r="B91" s="30"/>
      <c r="C91" s="30"/>
      <c r="D91" s="30"/>
      <c r="E91" s="30"/>
      <c r="F91" s="30"/>
      <c r="G91" s="30"/>
      <c r="H91" s="30"/>
      <c r="I91" s="30"/>
      <c r="J91" s="30"/>
      <c r="K91" s="30"/>
      <c r="L91" s="30"/>
      <c r="M91" s="30"/>
      <c r="N91" s="30"/>
      <c r="O91" s="30"/>
      <c r="P91" s="30"/>
      <c r="Q91" s="30"/>
      <c r="R91" s="30"/>
    </row>
    <row r="92" spans="2:18" x14ac:dyDescent="0.3">
      <c r="B92" s="30"/>
      <c r="C92" s="30"/>
      <c r="D92" s="30"/>
      <c r="E92" s="30"/>
      <c r="F92" s="30"/>
      <c r="G92" s="30"/>
      <c r="H92" s="30"/>
      <c r="I92" s="30"/>
      <c r="J92" s="30"/>
      <c r="K92" s="30"/>
      <c r="L92" s="30"/>
      <c r="M92" s="30"/>
      <c r="N92" s="30"/>
      <c r="O92" s="30"/>
      <c r="P92" s="30"/>
      <c r="Q92" s="30"/>
      <c r="R92" s="30"/>
    </row>
    <row r="93" spans="2:18" x14ac:dyDescent="0.3">
      <c r="B93" s="30"/>
      <c r="C93" s="30"/>
      <c r="D93" s="30"/>
      <c r="E93" s="30"/>
      <c r="F93" s="30"/>
      <c r="G93" s="30"/>
      <c r="H93" s="30"/>
      <c r="I93" s="30"/>
      <c r="J93" s="30"/>
      <c r="K93" s="30"/>
      <c r="L93" s="30"/>
      <c r="M93" s="30"/>
      <c r="N93" s="30"/>
      <c r="O93" s="30"/>
      <c r="P93" s="30"/>
      <c r="Q93" s="30"/>
      <c r="R93" s="30"/>
    </row>
    <row r="94" spans="2:18" x14ac:dyDescent="0.3">
      <c r="B94" s="30"/>
      <c r="C94" s="30"/>
      <c r="D94" s="30"/>
      <c r="E94" s="30"/>
      <c r="F94" s="30"/>
      <c r="G94" s="30"/>
      <c r="H94" s="30"/>
      <c r="I94" s="30"/>
      <c r="J94" s="30"/>
      <c r="K94" s="30"/>
      <c r="L94" s="30"/>
      <c r="M94" s="30"/>
      <c r="N94" s="30"/>
      <c r="O94" s="30"/>
      <c r="P94" s="30"/>
      <c r="Q94" s="30"/>
      <c r="R94" s="30"/>
    </row>
    <row r="95" spans="2:18" x14ac:dyDescent="0.3">
      <c r="B95" s="30"/>
      <c r="C95" s="30"/>
      <c r="D95" s="30"/>
      <c r="E95" s="30"/>
      <c r="F95" s="30"/>
      <c r="G95" s="30"/>
      <c r="H95" s="30"/>
      <c r="I95" s="30"/>
      <c r="J95" s="30"/>
      <c r="K95" s="30"/>
      <c r="L95" s="30"/>
      <c r="M95" s="30"/>
      <c r="N95" s="30"/>
      <c r="O95" s="30"/>
      <c r="P95" s="30"/>
      <c r="Q95" s="30"/>
      <c r="R95" s="30"/>
    </row>
    <row r="96" spans="2:18" x14ac:dyDescent="0.3">
      <c r="B96" s="30"/>
      <c r="C96" s="30"/>
      <c r="D96" s="30"/>
      <c r="E96" s="30"/>
      <c r="F96" s="30"/>
      <c r="G96" s="30"/>
      <c r="H96" s="30"/>
      <c r="I96" s="30"/>
      <c r="J96" s="30"/>
      <c r="K96" s="30"/>
      <c r="L96" s="30"/>
      <c r="M96" s="30"/>
      <c r="N96" s="30"/>
      <c r="O96" s="30"/>
      <c r="P96" s="30"/>
      <c r="Q96" s="30"/>
      <c r="R96" s="30"/>
    </row>
    <row r="97" spans="2:18" x14ac:dyDescent="0.3">
      <c r="B97" s="30"/>
      <c r="C97" s="30"/>
      <c r="D97" s="30"/>
      <c r="E97" s="30"/>
      <c r="F97" s="30"/>
      <c r="G97" s="30"/>
      <c r="H97" s="30"/>
      <c r="I97" s="30"/>
      <c r="J97" s="30"/>
      <c r="K97" s="30"/>
      <c r="L97" s="30"/>
      <c r="M97" s="30"/>
      <c r="N97" s="30"/>
      <c r="O97" s="30"/>
      <c r="P97" s="30"/>
      <c r="Q97" s="30"/>
      <c r="R97" s="30"/>
    </row>
    <row r="98" spans="2:18" x14ac:dyDescent="0.3">
      <c r="B98" s="30"/>
      <c r="C98" s="30"/>
      <c r="D98" s="30"/>
      <c r="E98" s="30"/>
      <c r="F98" s="30"/>
      <c r="G98" s="30"/>
      <c r="H98" s="30"/>
      <c r="I98" s="30"/>
      <c r="J98" s="30"/>
      <c r="K98" s="30"/>
      <c r="L98" s="30"/>
      <c r="M98" s="30"/>
      <c r="N98" s="30"/>
      <c r="O98" s="30"/>
      <c r="P98" s="30"/>
      <c r="Q98" s="30"/>
      <c r="R98" s="30"/>
    </row>
    <row r="99" spans="2:18" x14ac:dyDescent="0.3">
      <c r="B99" s="30"/>
      <c r="C99" s="30"/>
      <c r="D99" s="30"/>
      <c r="E99" s="30"/>
      <c r="F99" s="30"/>
      <c r="G99" s="30"/>
      <c r="H99" s="30"/>
      <c r="I99" s="30"/>
      <c r="J99" s="30"/>
      <c r="K99" s="30"/>
      <c r="L99" s="30"/>
      <c r="M99" s="30"/>
      <c r="N99" s="30"/>
      <c r="O99" s="30"/>
      <c r="P99" s="30"/>
      <c r="Q99" s="30"/>
      <c r="R99" s="30"/>
    </row>
    <row r="100" spans="2:18" x14ac:dyDescent="0.3">
      <c r="B100" s="30"/>
      <c r="C100" s="30"/>
      <c r="D100" s="30"/>
      <c r="E100" s="30"/>
      <c r="F100" s="30"/>
      <c r="G100" s="30"/>
      <c r="H100" s="30"/>
      <c r="I100" s="30"/>
      <c r="J100" s="30"/>
      <c r="K100" s="30"/>
      <c r="L100" s="30"/>
      <c r="M100" s="30"/>
      <c r="N100" s="30"/>
      <c r="O100" s="30"/>
      <c r="P100" s="30"/>
      <c r="Q100" s="30"/>
      <c r="R100" s="30"/>
    </row>
    <row r="101" spans="2:18" x14ac:dyDescent="0.3">
      <c r="B101" s="30"/>
      <c r="C101" s="30"/>
      <c r="D101" s="30"/>
      <c r="E101" s="30"/>
      <c r="F101" s="30"/>
      <c r="G101" s="30"/>
      <c r="H101" s="30"/>
      <c r="I101" s="30"/>
      <c r="J101" s="30"/>
      <c r="K101" s="30"/>
      <c r="L101" s="30"/>
      <c r="M101" s="30"/>
      <c r="N101" s="30"/>
      <c r="O101" s="30"/>
      <c r="P101" s="30"/>
      <c r="Q101" s="30"/>
      <c r="R101" s="30"/>
    </row>
    <row r="102" spans="2:18" x14ac:dyDescent="0.3">
      <c r="B102" s="30"/>
      <c r="C102" s="30"/>
      <c r="D102" s="30"/>
      <c r="E102" s="30"/>
      <c r="F102" s="30"/>
      <c r="G102" s="30"/>
      <c r="H102" s="30"/>
      <c r="I102" s="30"/>
      <c r="J102" s="30"/>
      <c r="K102" s="30"/>
      <c r="L102" s="30"/>
      <c r="M102" s="30"/>
      <c r="N102" s="30"/>
      <c r="O102" s="30"/>
      <c r="P102" s="30"/>
      <c r="Q102" s="30"/>
      <c r="R102" s="30"/>
    </row>
    <row r="103" spans="2:18" x14ac:dyDescent="0.3">
      <c r="B103" s="30"/>
      <c r="C103" s="30"/>
      <c r="D103" s="30"/>
      <c r="E103" s="30"/>
      <c r="F103" s="30"/>
      <c r="G103" s="30"/>
      <c r="H103" s="30"/>
      <c r="I103" s="30"/>
      <c r="J103" s="30"/>
      <c r="K103" s="30"/>
      <c r="L103" s="30"/>
      <c r="M103" s="30"/>
      <c r="N103" s="30"/>
      <c r="O103" s="30"/>
      <c r="P103" s="30"/>
      <c r="Q103" s="30"/>
      <c r="R103" s="30"/>
    </row>
    <row r="104" spans="2:18" x14ac:dyDescent="0.3">
      <c r="B104" s="30"/>
      <c r="C104" s="30"/>
      <c r="D104" s="30"/>
      <c r="E104" s="30"/>
      <c r="F104" s="30"/>
      <c r="G104" s="30"/>
      <c r="H104" s="30"/>
      <c r="I104" s="30"/>
      <c r="J104" s="30"/>
      <c r="K104" s="30"/>
      <c r="L104" s="30"/>
      <c r="M104" s="30"/>
      <c r="N104" s="30"/>
      <c r="O104" s="30"/>
      <c r="P104" s="30"/>
      <c r="Q104" s="30"/>
      <c r="R104" s="30"/>
    </row>
    <row r="105" spans="2:18" x14ac:dyDescent="0.3">
      <c r="B105" s="30"/>
      <c r="C105" s="30"/>
      <c r="D105" s="30"/>
      <c r="E105" s="30"/>
      <c r="F105" s="30"/>
      <c r="G105" s="30"/>
      <c r="H105" s="30"/>
      <c r="I105" s="30"/>
      <c r="J105" s="30"/>
      <c r="K105" s="30"/>
      <c r="L105" s="30"/>
      <c r="M105" s="30"/>
      <c r="N105" s="30"/>
      <c r="O105" s="30"/>
      <c r="P105" s="30"/>
      <c r="Q105" s="30"/>
      <c r="R105" s="30"/>
    </row>
    <row r="106" spans="2:18" x14ac:dyDescent="0.3">
      <c r="B106" s="30"/>
      <c r="C106" s="30"/>
      <c r="D106" s="30"/>
      <c r="E106" s="30"/>
      <c r="F106" s="30"/>
      <c r="G106" s="30"/>
      <c r="H106" s="30"/>
      <c r="I106" s="30"/>
      <c r="J106" s="30"/>
      <c r="K106" s="30"/>
      <c r="L106" s="30"/>
      <c r="M106" s="30"/>
      <c r="N106" s="30"/>
      <c r="O106" s="30"/>
      <c r="P106" s="30"/>
      <c r="Q106" s="30"/>
      <c r="R106" s="30"/>
    </row>
    <row r="107" spans="2:18" x14ac:dyDescent="0.3">
      <c r="B107" s="30"/>
      <c r="C107" s="30"/>
      <c r="D107" s="30"/>
      <c r="E107" s="30"/>
      <c r="F107" s="30"/>
      <c r="G107" s="30"/>
      <c r="H107" s="30"/>
      <c r="I107" s="30"/>
      <c r="J107" s="30"/>
      <c r="K107" s="30"/>
      <c r="L107" s="30"/>
      <c r="M107" s="30"/>
      <c r="N107" s="30"/>
      <c r="O107" s="30"/>
      <c r="P107" s="30"/>
      <c r="Q107" s="30"/>
      <c r="R107" s="30"/>
    </row>
    <row r="108" spans="2:18" x14ac:dyDescent="0.3">
      <c r="B108" s="30"/>
      <c r="C108" s="30"/>
      <c r="D108" s="30"/>
      <c r="E108" s="30"/>
      <c r="F108" s="30"/>
      <c r="G108" s="30"/>
      <c r="H108" s="30"/>
      <c r="I108" s="30"/>
      <c r="J108" s="30"/>
      <c r="K108" s="30"/>
      <c r="L108" s="30"/>
      <c r="M108" s="30"/>
      <c r="N108" s="30"/>
      <c r="O108" s="30"/>
      <c r="P108" s="30"/>
      <c r="Q108" s="30"/>
      <c r="R108" s="30"/>
    </row>
    <row r="109" spans="2:18" x14ac:dyDescent="0.3">
      <c r="B109" s="30"/>
      <c r="C109" s="30"/>
      <c r="D109" s="30"/>
      <c r="E109" s="30"/>
      <c r="F109" s="30"/>
      <c r="G109" s="30"/>
      <c r="H109" s="30"/>
      <c r="I109" s="30"/>
      <c r="J109" s="30"/>
      <c r="K109" s="30"/>
      <c r="L109" s="30"/>
      <c r="M109" s="30"/>
      <c r="N109" s="30"/>
      <c r="O109" s="30"/>
      <c r="P109" s="30"/>
      <c r="Q109" s="30"/>
      <c r="R109" s="30"/>
    </row>
    <row r="110" spans="2:18" x14ac:dyDescent="0.3">
      <c r="B110" s="30"/>
      <c r="C110" s="30"/>
      <c r="D110" s="30"/>
      <c r="E110" s="30"/>
      <c r="F110" s="30"/>
      <c r="G110" s="30"/>
      <c r="H110" s="30"/>
      <c r="I110" s="30"/>
      <c r="J110" s="30"/>
      <c r="K110" s="30"/>
      <c r="L110" s="30"/>
      <c r="M110" s="30"/>
      <c r="N110" s="30"/>
      <c r="O110" s="30"/>
      <c r="P110" s="30"/>
      <c r="Q110" s="30"/>
      <c r="R110" s="30"/>
    </row>
    <row r="111" spans="2:18" x14ac:dyDescent="0.3">
      <c r="B111" s="30"/>
      <c r="C111" s="30"/>
      <c r="D111" s="30"/>
      <c r="E111" s="30"/>
      <c r="F111" s="30"/>
      <c r="G111" s="30"/>
      <c r="H111" s="30"/>
      <c r="I111" s="30"/>
      <c r="J111" s="30"/>
      <c r="K111" s="30"/>
      <c r="L111" s="30"/>
      <c r="M111" s="30"/>
      <c r="N111" s="30"/>
      <c r="O111" s="30"/>
      <c r="P111" s="30"/>
      <c r="Q111" s="30"/>
      <c r="R111" s="30"/>
    </row>
    <row r="112" spans="2:18" x14ac:dyDescent="0.3">
      <c r="B112" s="30"/>
      <c r="C112" s="30"/>
      <c r="D112" s="30"/>
      <c r="E112" s="30"/>
      <c r="F112" s="30"/>
      <c r="G112" s="30"/>
      <c r="H112" s="30"/>
      <c r="I112" s="30"/>
      <c r="J112" s="30"/>
      <c r="K112" s="30"/>
      <c r="L112" s="30"/>
      <c r="M112" s="30"/>
      <c r="N112" s="30"/>
      <c r="O112" s="30"/>
      <c r="P112" s="30"/>
      <c r="Q112" s="30"/>
      <c r="R112" s="30"/>
    </row>
    <row r="113" spans="2:18" x14ac:dyDescent="0.3">
      <c r="B113" s="30"/>
      <c r="C113" s="30"/>
      <c r="D113" s="30"/>
      <c r="E113" s="30"/>
      <c r="F113" s="30"/>
      <c r="G113" s="30"/>
      <c r="H113" s="30"/>
      <c r="I113" s="30"/>
      <c r="J113" s="30"/>
      <c r="K113" s="30"/>
      <c r="L113" s="30"/>
      <c r="M113" s="30"/>
      <c r="N113" s="30"/>
      <c r="O113" s="30"/>
      <c r="P113" s="30"/>
      <c r="Q113" s="30"/>
      <c r="R113" s="30"/>
    </row>
    <row r="114" spans="2:18" x14ac:dyDescent="0.3">
      <c r="B114" s="30"/>
      <c r="C114" s="30"/>
      <c r="D114" s="30"/>
      <c r="E114" s="30"/>
      <c r="F114" s="30"/>
      <c r="G114" s="30"/>
      <c r="H114" s="30"/>
      <c r="I114" s="30"/>
      <c r="J114" s="30"/>
      <c r="K114" s="30"/>
      <c r="L114" s="30"/>
      <c r="M114" s="30"/>
      <c r="N114" s="30"/>
      <c r="O114" s="30"/>
      <c r="P114" s="30"/>
      <c r="Q114" s="30"/>
      <c r="R114" s="30"/>
    </row>
    <row r="115" spans="2:18" x14ac:dyDescent="0.3">
      <c r="B115" s="30"/>
      <c r="C115" s="30"/>
      <c r="D115" s="30"/>
      <c r="E115" s="30"/>
      <c r="F115" s="30"/>
      <c r="G115" s="30"/>
      <c r="H115" s="30"/>
      <c r="I115" s="30"/>
      <c r="J115" s="30"/>
      <c r="K115" s="30"/>
      <c r="L115" s="30"/>
      <c r="M115" s="30"/>
      <c r="N115" s="30"/>
      <c r="O115" s="30"/>
      <c r="P115" s="30"/>
      <c r="Q115" s="30"/>
      <c r="R115" s="30"/>
    </row>
    <row r="116" spans="2:18" x14ac:dyDescent="0.3">
      <c r="B116" s="30"/>
      <c r="C116" s="30"/>
      <c r="D116" s="30"/>
      <c r="E116" s="30"/>
      <c r="F116" s="30"/>
      <c r="G116" s="30"/>
      <c r="H116" s="30"/>
      <c r="I116" s="30"/>
      <c r="J116" s="30"/>
      <c r="K116" s="30"/>
      <c r="L116" s="30"/>
      <c r="M116" s="30"/>
      <c r="N116" s="30"/>
      <c r="O116" s="30"/>
      <c r="P116" s="30"/>
      <c r="Q116" s="30"/>
      <c r="R116" s="30"/>
    </row>
    <row r="117" spans="2:18" x14ac:dyDescent="0.3">
      <c r="B117" s="30"/>
      <c r="C117" s="30"/>
      <c r="D117" s="30"/>
      <c r="E117" s="30"/>
      <c r="F117" s="30"/>
      <c r="G117" s="30"/>
      <c r="H117" s="30"/>
      <c r="I117" s="30"/>
      <c r="J117" s="30"/>
      <c r="K117" s="30"/>
      <c r="L117" s="30"/>
      <c r="M117" s="30"/>
      <c r="N117" s="30"/>
      <c r="O117" s="30"/>
      <c r="P117" s="30"/>
      <c r="Q117" s="30"/>
      <c r="R117" s="30"/>
    </row>
    <row r="118" spans="2:18" x14ac:dyDescent="0.3">
      <c r="B118" s="30"/>
      <c r="C118" s="30"/>
      <c r="D118" s="30"/>
      <c r="E118" s="30"/>
      <c r="F118" s="30"/>
      <c r="G118" s="30"/>
      <c r="H118" s="30"/>
      <c r="I118" s="30"/>
      <c r="J118" s="30"/>
      <c r="K118" s="30"/>
      <c r="L118" s="30"/>
      <c r="M118" s="30"/>
      <c r="N118" s="30"/>
      <c r="O118" s="30"/>
      <c r="P118" s="30"/>
      <c r="Q118" s="30"/>
      <c r="R118" s="30"/>
    </row>
    <row r="119" spans="2:18" x14ac:dyDescent="0.3">
      <c r="B119" s="30"/>
      <c r="C119" s="30"/>
      <c r="D119" s="30"/>
      <c r="E119" s="30"/>
      <c r="F119" s="30"/>
      <c r="G119" s="30"/>
      <c r="H119" s="30"/>
      <c r="I119" s="30"/>
      <c r="J119" s="30"/>
      <c r="K119" s="30"/>
      <c r="L119" s="30"/>
      <c r="M119" s="30"/>
      <c r="N119" s="30"/>
      <c r="O119" s="30"/>
      <c r="P119" s="30"/>
      <c r="Q119" s="30"/>
      <c r="R119" s="30"/>
    </row>
    <row r="120" spans="2:18" x14ac:dyDescent="0.3">
      <c r="B120" s="30"/>
      <c r="C120" s="30"/>
      <c r="D120" s="30"/>
      <c r="E120" s="30"/>
      <c r="F120" s="30"/>
      <c r="G120" s="30"/>
      <c r="H120" s="30"/>
      <c r="I120" s="30"/>
      <c r="J120" s="30"/>
      <c r="K120" s="30"/>
      <c r="L120" s="30"/>
      <c r="M120" s="30"/>
      <c r="N120" s="30"/>
      <c r="O120" s="30"/>
      <c r="P120" s="30"/>
      <c r="Q120" s="30"/>
      <c r="R120" s="30"/>
    </row>
    <row r="121" spans="2:18" x14ac:dyDescent="0.3">
      <c r="B121" s="30"/>
      <c r="C121" s="30"/>
      <c r="D121" s="30"/>
      <c r="E121" s="30"/>
      <c r="F121" s="30"/>
      <c r="G121" s="30"/>
      <c r="H121" s="30"/>
      <c r="I121" s="30"/>
      <c r="J121" s="30"/>
      <c r="K121" s="30"/>
      <c r="L121" s="30"/>
      <c r="M121" s="30"/>
      <c r="N121" s="30"/>
      <c r="O121" s="30"/>
      <c r="P121" s="30"/>
      <c r="Q121" s="30"/>
      <c r="R121" s="30"/>
    </row>
    <row r="122" spans="2:18" x14ac:dyDescent="0.3">
      <c r="B122" s="30"/>
      <c r="C122" s="30"/>
      <c r="D122" s="30"/>
      <c r="E122" s="30"/>
      <c r="F122" s="30"/>
      <c r="G122" s="30"/>
      <c r="H122" s="30"/>
      <c r="I122" s="30"/>
      <c r="J122" s="30"/>
      <c r="K122" s="30"/>
      <c r="L122" s="30"/>
      <c r="M122" s="30"/>
      <c r="N122" s="30"/>
      <c r="O122" s="30"/>
      <c r="P122" s="30"/>
      <c r="Q122" s="30"/>
      <c r="R122" s="30"/>
    </row>
    <row r="123" spans="2:18" x14ac:dyDescent="0.3">
      <c r="B123" s="30"/>
      <c r="C123" s="30"/>
      <c r="D123" s="30"/>
      <c r="E123" s="30"/>
      <c r="F123" s="30"/>
      <c r="G123" s="30"/>
      <c r="H123" s="30"/>
      <c r="I123" s="30"/>
      <c r="J123" s="30"/>
      <c r="K123" s="30"/>
      <c r="L123" s="30"/>
      <c r="M123" s="30"/>
      <c r="N123" s="30"/>
      <c r="O123" s="30"/>
      <c r="P123" s="30"/>
      <c r="Q123" s="30"/>
      <c r="R123" s="30"/>
    </row>
    <row r="124" spans="2:18" x14ac:dyDescent="0.3">
      <c r="B124" s="30"/>
      <c r="C124" s="30"/>
      <c r="D124" s="30"/>
      <c r="E124" s="30"/>
      <c r="F124" s="30"/>
      <c r="G124" s="30"/>
      <c r="H124" s="30"/>
      <c r="I124" s="30"/>
      <c r="J124" s="30"/>
      <c r="K124" s="30"/>
      <c r="L124" s="30"/>
      <c r="M124" s="30"/>
      <c r="N124" s="30"/>
      <c r="O124" s="30"/>
      <c r="P124" s="30"/>
      <c r="Q124" s="30"/>
      <c r="R124" s="30"/>
    </row>
    <row r="125" spans="2:18" x14ac:dyDescent="0.3">
      <c r="B125" s="30"/>
      <c r="C125" s="30"/>
      <c r="D125" s="30"/>
      <c r="E125" s="30"/>
      <c r="F125" s="30"/>
      <c r="G125" s="30"/>
      <c r="H125" s="30"/>
      <c r="I125" s="30"/>
      <c r="J125" s="30"/>
      <c r="K125" s="30"/>
      <c r="L125" s="30"/>
      <c r="M125" s="30"/>
      <c r="N125" s="30"/>
      <c r="O125" s="30"/>
      <c r="P125" s="30"/>
      <c r="Q125" s="30"/>
      <c r="R125" s="30"/>
    </row>
    <row r="126" spans="2:18" x14ac:dyDescent="0.3">
      <c r="B126" s="30"/>
      <c r="C126" s="30"/>
      <c r="D126" s="30"/>
      <c r="E126" s="30"/>
      <c r="F126" s="30"/>
      <c r="G126" s="30"/>
      <c r="H126" s="30"/>
      <c r="I126" s="30"/>
      <c r="J126" s="30"/>
      <c r="K126" s="30"/>
      <c r="L126" s="30"/>
      <c r="M126" s="30"/>
      <c r="N126" s="30"/>
      <c r="O126" s="30"/>
      <c r="P126" s="30"/>
      <c r="Q126" s="30"/>
      <c r="R126" s="30"/>
    </row>
    <row r="127" spans="2:18" x14ac:dyDescent="0.3">
      <c r="B127" s="30"/>
      <c r="C127" s="30"/>
      <c r="D127" s="30"/>
      <c r="E127" s="30"/>
      <c r="F127" s="30"/>
      <c r="G127" s="30"/>
      <c r="H127" s="30"/>
      <c r="I127" s="30"/>
      <c r="J127" s="30"/>
      <c r="K127" s="30"/>
      <c r="L127" s="30"/>
      <c r="M127" s="30"/>
      <c r="N127" s="30"/>
      <c r="O127" s="30"/>
      <c r="P127" s="30"/>
      <c r="Q127" s="30"/>
      <c r="R127" s="30"/>
    </row>
    <row r="128" spans="2:18" x14ac:dyDescent="0.3">
      <c r="B128" s="30"/>
      <c r="C128" s="30"/>
      <c r="D128" s="30"/>
      <c r="E128" s="30"/>
      <c r="F128" s="30"/>
      <c r="G128" s="30"/>
      <c r="H128" s="30"/>
      <c r="I128" s="30"/>
      <c r="J128" s="30"/>
      <c r="K128" s="30"/>
      <c r="L128" s="30"/>
      <c r="M128" s="30"/>
      <c r="N128" s="30"/>
      <c r="O128" s="30"/>
      <c r="P128" s="30"/>
      <c r="Q128" s="30"/>
      <c r="R128" s="30"/>
    </row>
    <row r="129" spans="2:18" x14ac:dyDescent="0.3">
      <c r="B129" s="30"/>
      <c r="C129" s="30"/>
      <c r="D129" s="30"/>
      <c r="E129" s="30"/>
      <c r="F129" s="30"/>
      <c r="G129" s="30"/>
      <c r="H129" s="30"/>
      <c r="I129" s="30"/>
      <c r="J129" s="30"/>
      <c r="K129" s="30"/>
      <c r="L129" s="30"/>
      <c r="M129" s="30"/>
      <c r="N129" s="30"/>
      <c r="O129" s="30"/>
      <c r="P129" s="30"/>
      <c r="Q129" s="30"/>
      <c r="R129" s="30"/>
    </row>
    <row r="130" spans="2:18" x14ac:dyDescent="0.3">
      <c r="B130" s="30"/>
      <c r="C130" s="30"/>
      <c r="D130" s="30"/>
      <c r="E130" s="30"/>
      <c r="F130" s="30"/>
      <c r="G130" s="30"/>
      <c r="H130" s="30"/>
      <c r="I130" s="30"/>
      <c r="J130" s="30"/>
      <c r="K130" s="30"/>
      <c r="L130" s="30"/>
      <c r="M130" s="30"/>
      <c r="N130" s="30"/>
      <c r="O130" s="30"/>
      <c r="P130" s="30"/>
      <c r="Q130" s="30"/>
      <c r="R130" s="30"/>
    </row>
    <row r="131" spans="2:18" x14ac:dyDescent="0.3">
      <c r="B131" s="30"/>
      <c r="C131" s="30"/>
      <c r="D131" s="30"/>
      <c r="E131" s="30"/>
      <c r="F131" s="30"/>
      <c r="G131" s="30"/>
      <c r="H131" s="30"/>
      <c r="I131" s="30"/>
      <c r="J131" s="30"/>
      <c r="K131" s="30"/>
      <c r="L131" s="30"/>
      <c r="M131" s="30"/>
      <c r="N131" s="30"/>
      <c r="O131" s="30"/>
      <c r="P131" s="30"/>
      <c r="Q131" s="30"/>
      <c r="R131" s="30"/>
    </row>
    <row r="132" spans="2:18" x14ac:dyDescent="0.3">
      <c r="B132" s="30"/>
      <c r="C132" s="30"/>
      <c r="D132" s="30"/>
      <c r="E132" s="30"/>
      <c r="F132" s="30"/>
      <c r="G132" s="30"/>
      <c r="H132" s="30"/>
      <c r="I132" s="30"/>
      <c r="J132" s="30"/>
      <c r="K132" s="30"/>
      <c r="L132" s="30"/>
      <c r="M132" s="30"/>
      <c r="N132" s="30"/>
      <c r="O132" s="30"/>
      <c r="P132" s="30"/>
      <c r="Q132" s="30"/>
      <c r="R132" s="30"/>
    </row>
    <row r="133" spans="2:18" x14ac:dyDescent="0.3">
      <c r="B133" s="30"/>
      <c r="C133" s="30"/>
      <c r="D133" s="30"/>
      <c r="E133" s="30"/>
      <c r="F133" s="30"/>
      <c r="G133" s="30"/>
      <c r="H133" s="30"/>
      <c r="I133" s="30"/>
      <c r="J133" s="30"/>
      <c r="K133" s="30"/>
      <c r="L133" s="30"/>
      <c r="M133" s="30"/>
      <c r="N133" s="30"/>
      <c r="O133" s="30"/>
      <c r="P133" s="30"/>
      <c r="Q133" s="30"/>
      <c r="R133" s="30"/>
    </row>
    <row r="134" spans="2:18" x14ac:dyDescent="0.3">
      <c r="B134" s="30"/>
      <c r="C134" s="30"/>
      <c r="D134" s="30"/>
      <c r="E134" s="30"/>
      <c r="F134" s="30"/>
      <c r="G134" s="30"/>
      <c r="H134" s="30"/>
      <c r="I134" s="30"/>
      <c r="J134" s="30"/>
      <c r="K134" s="30"/>
      <c r="L134" s="30"/>
      <c r="M134" s="30"/>
      <c r="N134" s="30"/>
      <c r="O134" s="30"/>
      <c r="P134" s="30"/>
      <c r="Q134" s="30"/>
      <c r="R134" s="30"/>
    </row>
    <row r="135" spans="2:18" x14ac:dyDescent="0.3">
      <c r="B135" s="30"/>
      <c r="C135" s="30"/>
      <c r="D135" s="30"/>
      <c r="E135" s="30"/>
      <c r="F135" s="30"/>
      <c r="G135" s="30"/>
      <c r="H135" s="30"/>
      <c r="I135" s="30"/>
      <c r="J135" s="30"/>
      <c r="K135" s="30"/>
      <c r="L135" s="30"/>
      <c r="M135" s="30"/>
      <c r="N135" s="30"/>
      <c r="O135" s="30"/>
      <c r="P135" s="30"/>
      <c r="Q135" s="30"/>
      <c r="R135" s="30"/>
    </row>
    <row r="136" spans="2:18" x14ac:dyDescent="0.3">
      <c r="B136" s="30"/>
      <c r="C136" s="30"/>
      <c r="D136" s="30"/>
      <c r="E136" s="30"/>
      <c r="F136" s="30"/>
      <c r="G136" s="30"/>
      <c r="H136" s="30"/>
      <c r="I136" s="30"/>
      <c r="J136" s="30"/>
      <c r="K136" s="30"/>
      <c r="L136" s="30"/>
      <c r="M136" s="30"/>
      <c r="N136" s="30"/>
      <c r="O136" s="30"/>
      <c r="P136" s="30"/>
      <c r="Q136" s="30"/>
      <c r="R136" s="30"/>
    </row>
    <row r="137" spans="2:18" x14ac:dyDescent="0.3">
      <c r="B137" s="30"/>
      <c r="C137" s="30"/>
      <c r="D137" s="30"/>
      <c r="E137" s="30"/>
      <c r="F137" s="30"/>
      <c r="G137" s="30"/>
      <c r="H137" s="30"/>
      <c r="I137" s="30"/>
      <c r="J137" s="30"/>
      <c r="K137" s="30"/>
      <c r="L137" s="30"/>
      <c r="M137" s="30"/>
      <c r="N137" s="30"/>
      <c r="O137" s="30"/>
      <c r="P137" s="30"/>
      <c r="Q137" s="30"/>
      <c r="R137" s="30"/>
    </row>
    <row r="138" spans="2:18" x14ac:dyDescent="0.3">
      <c r="B138" s="30"/>
      <c r="C138" s="30"/>
      <c r="D138" s="30"/>
      <c r="E138" s="30"/>
      <c r="F138" s="30"/>
      <c r="G138" s="30"/>
      <c r="H138" s="30"/>
      <c r="I138" s="30"/>
      <c r="J138" s="30"/>
      <c r="K138" s="30"/>
      <c r="L138" s="30"/>
      <c r="M138" s="30"/>
      <c r="N138" s="30"/>
      <c r="O138" s="30"/>
      <c r="P138" s="30"/>
      <c r="Q138" s="30"/>
      <c r="R138" s="30"/>
    </row>
    <row r="139" spans="2:18" x14ac:dyDescent="0.3">
      <c r="B139" s="30"/>
      <c r="C139" s="30"/>
      <c r="D139" s="30"/>
      <c r="E139" s="30"/>
      <c r="F139" s="30"/>
      <c r="G139" s="30"/>
      <c r="H139" s="30"/>
      <c r="I139" s="30"/>
      <c r="J139" s="30"/>
      <c r="K139" s="30"/>
      <c r="L139" s="30"/>
      <c r="M139" s="30"/>
      <c r="N139" s="30"/>
      <c r="O139" s="30"/>
      <c r="P139" s="30"/>
      <c r="Q139" s="30"/>
      <c r="R139" s="30"/>
    </row>
    <row r="140" spans="2:18" x14ac:dyDescent="0.3">
      <c r="B140" s="30"/>
      <c r="C140" s="30"/>
      <c r="D140" s="30"/>
      <c r="E140" s="30"/>
      <c r="F140" s="30"/>
      <c r="G140" s="30"/>
      <c r="H140" s="30"/>
      <c r="I140" s="30"/>
      <c r="J140" s="30"/>
      <c r="K140" s="30"/>
      <c r="L140" s="30"/>
      <c r="M140" s="30"/>
      <c r="N140" s="30"/>
      <c r="O140" s="30"/>
      <c r="P140" s="30"/>
      <c r="Q140" s="30"/>
      <c r="R140" s="30"/>
    </row>
    <row r="141" spans="2:18" x14ac:dyDescent="0.3">
      <c r="B141" s="30"/>
      <c r="C141" s="30"/>
      <c r="D141" s="30"/>
      <c r="E141" s="30"/>
      <c r="F141" s="30"/>
      <c r="G141" s="30"/>
      <c r="H141" s="30"/>
      <c r="I141" s="30"/>
      <c r="J141" s="30"/>
      <c r="K141" s="30"/>
      <c r="L141" s="30"/>
      <c r="M141" s="30"/>
      <c r="N141" s="30"/>
      <c r="O141" s="30"/>
      <c r="P141" s="30"/>
      <c r="Q141" s="30"/>
      <c r="R141" s="30"/>
    </row>
    <row r="142" spans="2:18" x14ac:dyDescent="0.3">
      <c r="B142" s="30"/>
      <c r="C142" s="30"/>
      <c r="D142" s="30"/>
      <c r="E142" s="30"/>
      <c r="F142" s="30"/>
      <c r="G142" s="30"/>
      <c r="H142" s="30"/>
      <c r="I142" s="30"/>
      <c r="J142" s="30"/>
      <c r="K142" s="30"/>
      <c r="L142" s="30"/>
      <c r="M142" s="30"/>
      <c r="N142" s="30"/>
      <c r="O142" s="30"/>
      <c r="P142" s="30"/>
      <c r="Q142" s="30"/>
      <c r="R142" s="30"/>
    </row>
    <row r="143" spans="2:18" x14ac:dyDescent="0.3">
      <c r="B143" s="30"/>
      <c r="C143" s="30"/>
      <c r="D143" s="30"/>
      <c r="E143" s="30"/>
      <c r="F143" s="30"/>
      <c r="G143" s="30"/>
      <c r="H143" s="30"/>
      <c r="I143" s="30"/>
      <c r="J143" s="30"/>
      <c r="K143" s="30"/>
      <c r="L143" s="30"/>
      <c r="M143" s="30"/>
      <c r="N143" s="30"/>
      <c r="O143" s="30"/>
      <c r="P143" s="30"/>
      <c r="Q143" s="30"/>
      <c r="R143" s="30"/>
    </row>
    <row r="144" spans="2:18" x14ac:dyDescent="0.3">
      <c r="B144" s="30"/>
      <c r="C144" s="30"/>
      <c r="D144" s="30"/>
      <c r="E144" s="30"/>
      <c r="F144" s="30"/>
      <c r="G144" s="30"/>
      <c r="H144" s="30"/>
      <c r="I144" s="30"/>
      <c r="J144" s="30"/>
      <c r="K144" s="30"/>
      <c r="L144" s="30"/>
      <c r="M144" s="30"/>
      <c r="N144" s="30"/>
      <c r="O144" s="30"/>
      <c r="P144" s="30"/>
      <c r="Q144" s="30"/>
      <c r="R144" s="30"/>
    </row>
    <row r="145" spans="2:18" x14ac:dyDescent="0.3">
      <c r="B145" s="30"/>
      <c r="C145" s="30"/>
      <c r="D145" s="30"/>
      <c r="E145" s="30"/>
      <c r="F145" s="30"/>
      <c r="G145" s="30"/>
      <c r="H145" s="30"/>
      <c r="I145" s="30"/>
      <c r="J145" s="30"/>
      <c r="K145" s="30"/>
      <c r="L145" s="30"/>
      <c r="M145" s="30"/>
      <c r="N145" s="30"/>
      <c r="O145" s="30"/>
      <c r="P145" s="30"/>
      <c r="Q145" s="30"/>
      <c r="R145" s="30"/>
    </row>
    <row r="146" spans="2:18" x14ac:dyDescent="0.3">
      <c r="B146" s="30"/>
      <c r="C146" s="30"/>
      <c r="D146" s="30"/>
      <c r="E146" s="30"/>
      <c r="F146" s="30"/>
      <c r="G146" s="30"/>
      <c r="H146" s="30"/>
      <c r="I146" s="30"/>
      <c r="J146" s="30"/>
      <c r="K146" s="30"/>
      <c r="L146" s="30"/>
      <c r="M146" s="30"/>
      <c r="N146" s="30"/>
      <c r="O146" s="30"/>
      <c r="P146" s="30"/>
      <c r="Q146" s="30"/>
      <c r="R146" s="30"/>
    </row>
    <row r="147" spans="2:18" x14ac:dyDescent="0.3">
      <c r="B147" s="30"/>
      <c r="C147" s="30"/>
      <c r="D147" s="30"/>
      <c r="E147" s="30"/>
      <c r="F147" s="30"/>
      <c r="G147" s="30"/>
      <c r="H147" s="30"/>
      <c r="I147" s="30"/>
      <c r="J147" s="30"/>
      <c r="K147" s="30"/>
      <c r="L147" s="30"/>
      <c r="M147" s="30"/>
      <c r="N147" s="30"/>
      <c r="O147" s="30"/>
      <c r="P147" s="30"/>
      <c r="Q147" s="30"/>
      <c r="R147" s="30"/>
    </row>
    <row r="148" spans="2:18" x14ac:dyDescent="0.3">
      <c r="B148" s="30"/>
      <c r="C148" s="30"/>
      <c r="D148" s="30"/>
      <c r="E148" s="30"/>
      <c r="F148" s="30"/>
      <c r="G148" s="30"/>
      <c r="H148" s="30"/>
      <c r="I148" s="30"/>
      <c r="J148" s="30"/>
      <c r="K148" s="30"/>
      <c r="L148" s="30"/>
      <c r="M148" s="30"/>
      <c r="N148" s="30"/>
      <c r="O148" s="30"/>
      <c r="P148" s="30"/>
      <c r="Q148" s="30"/>
      <c r="R148" s="30"/>
    </row>
    <row r="149" spans="2:18" x14ac:dyDescent="0.3">
      <c r="B149" s="30"/>
      <c r="C149" s="30"/>
      <c r="D149" s="30"/>
      <c r="E149" s="30"/>
      <c r="F149" s="30"/>
      <c r="G149" s="30"/>
      <c r="H149" s="30"/>
      <c r="I149" s="30"/>
      <c r="J149" s="30"/>
      <c r="K149" s="30"/>
      <c r="L149" s="30"/>
      <c r="M149" s="30"/>
      <c r="N149" s="30"/>
      <c r="O149" s="30"/>
      <c r="P149" s="30"/>
      <c r="Q149" s="30"/>
      <c r="R149" s="30"/>
    </row>
    <row r="150" spans="2:18" x14ac:dyDescent="0.3">
      <c r="B150" s="30"/>
      <c r="C150" s="30"/>
      <c r="D150" s="30"/>
      <c r="E150" s="30"/>
      <c r="F150" s="30"/>
      <c r="G150" s="30"/>
      <c r="H150" s="30"/>
      <c r="I150" s="30"/>
      <c r="J150" s="30"/>
      <c r="K150" s="30"/>
      <c r="L150" s="30"/>
      <c r="M150" s="30"/>
      <c r="N150" s="30"/>
      <c r="O150" s="30"/>
      <c r="P150" s="30"/>
      <c r="Q150" s="30"/>
      <c r="R150" s="30"/>
    </row>
    <row r="151" spans="2:18" x14ac:dyDescent="0.3">
      <c r="B151" s="30"/>
      <c r="C151" s="30"/>
      <c r="D151" s="30"/>
      <c r="E151" s="30"/>
      <c r="F151" s="30"/>
      <c r="G151" s="30"/>
      <c r="H151" s="30"/>
      <c r="I151" s="30"/>
      <c r="J151" s="30"/>
      <c r="K151" s="30"/>
      <c r="L151" s="30"/>
      <c r="M151" s="30"/>
      <c r="N151" s="30"/>
      <c r="O151" s="30"/>
      <c r="P151" s="30"/>
      <c r="Q151" s="30"/>
      <c r="R151" s="30"/>
    </row>
    <row r="152" spans="2:18" x14ac:dyDescent="0.3">
      <c r="B152" s="30"/>
      <c r="C152" s="30"/>
      <c r="D152" s="30"/>
      <c r="E152" s="30"/>
      <c r="F152" s="30"/>
      <c r="G152" s="30"/>
      <c r="H152" s="30"/>
      <c r="I152" s="30"/>
      <c r="J152" s="30"/>
      <c r="K152" s="30"/>
      <c r="L152" s="30"/>
      <c r="M152" s="30"/>
      <c r="N152" s="30"/>
      <c r="O152" s="30"/>
      <c r="P152" s="30"/>
      <c r="Q152" s="30"/>
      <c r="R152" s="30"/>
    </row>
    <row r="153" spans="2:18" x14ac:dyDescent="0.3">
      <c r="B153" s="30"/>
      <c r="C153" s="30"/>
      <c r="D153" s="30"/>
      <c r="E153" s="30"/>
      <c r="F153" s="30"/>
      <c r="G153" s="30"/>
      <c r="H153" s="30"/>
      <c r="I153" s="30"/>
      <c r="J153" s="30"/>
      <c r="K153" s="30"/>
      <c r="L153" s="30"/>
      <c r="M153" s="30"/>
      <c r="N153" s="30"/>
      <c r="O153" s="30"/>
      <c r="P153" s="30"/>
      <c r="Q153" s="30"/>
      <c r="R153" s="30"/>
    </row>
    <row r="154" spans="2:18" x14ac:dyDescent="0.3">
      <c r="B154" s="30"/>
      <c r="C154" s="30"/>
      <c r="D154" s="30"/>
      <c r="E154" s="30"/>
      <c r="F154" s="30"/>
      <c r="G154" s="30"/>
      <c r="H154" s="30"/>
      <c r="I154" s="30"/>
      <c r="J154" s="30"/>
      <c r="K154" s="30"/>
      <c r="L154" s="30"/>
      <c r="M154" s="30"/>
      <c r="N154" s="30"/>
      <c r="O154" s="30"/>
      <c r="P154" s="30"/>
      <c r="Q154" s="30"/>
      <c r="R154" s="30"/>
    </row>
    <row r="155" spans="2:18" x14ac:dyDescent="0.3">
      <c r="B155" s="30"/>
      <c r="C155" s="30"/>
      <c r="D155" s="30"/>
      <c r="E155" s="30"/>
      <c r="F155" s="30"/>
      <c r="G155" s="30"/>
      <c r="H155" s="30"/>
      <c r="I155" s="30"/>
      <c r="J155" s="30"/>
      <c r="K155" s="30"/>
      <c r="L155" s="30"/>
      <c r="M155" s="30"/>
      <c r="N155" s="30"/>
      <c r="O155" s="30"/>
      <c r="P155" s="30"/>
      <c r="Q155" s="30"/>
      <c r="R155" s="30"/>
    </row>
    <row r="156" spans="2:18" x14ac:dyDescent="0.3">
      <c r="B156" s="30"/>
      <c r="C156" s="30"/>
      <c r="D156" s="30"/>
      <c r="E156" s="30"/>
      <c r="F156" s="30"/>
      <c r="G156" s="30"/>
      <c r="H156" s="30"/>
      <c r="I156" s="30"/>
      <c r="J156" s="30"/>
      <c r="K156" s="30"/>
      <c r="L156" s="30"/>
      <c r="M156" s="30"/>
      <c r="N156" s="30"/>
      <c r="O156" s="30"/>
      <c r="P156" s="30"/>
      <c r="Q156" s="30"/>
      <c r="R156" s="30"/>
    </row>
    <row r="157" spans="2:18" x14ac:dyDescent="0.3">
      <c r="B157" s="30"/>
      <c r="C157" s="30"/>
      <c r="D157" s="30"/>
      <c r="E157" s="30"/>
      <c r="F157" s="30"/>
      <c r="G157" s="30"/>
      <c r="H157" s="30"/>
      <c r="I157" s="30"/>
      <c r="J157" s="30"/>
      <c r="K157" s="30"/>
      <c r="L157" s="30"/>
      <c r="M157" s="30"/>
      <c r="N157" s="30"/>
      <c r="O157" s="30"/>
      <c r="P157" s="30"/>
      <c r="Q157" s="30"/>
      <c r="R157" s="30"/>
    </row>
    <row r="158" spans="2:18" x14ac:dyDescent="0.3">
      <c r="B158" s="30"/>
      <c r="C158" s="30"/>
      <c r="D158" s="30"/>
      <c r="E158" s="30"/>
      <c r="F158" s="30"/>
      <c r="G158" s="30"/>
      <c r="H158" s="30"/>
      <c r="I158" s="30"/>
      <c r="J158" s="30"/>
      <c r="K158" s="30"/>
      <c r="L158" s="30"/>
      <c r="M158" s="30"/>
      <c r="N158" s="30"/>
      <c r="O158" s="30"/>
      <c r="P158" s="30"/>
      <c r="Q158" s="30"/>
      <c r="R158" s="30"/>
    </row>
    <row r="159" spans="2:18" x14ac:dyDescent="0.3">
      <c r="B159" s="30"/>
      <c r="C159" s="30"/>
      <c r="D159" s="30"/>
      <c r="E159" s="30"/>
      <c r="F159" s="30"/>
      <c r="G159" s="30"/>
      <c r="H159" s="30"/>
      <c r="I159" s="30"/>
      <c r="J159" s="30"/>
      <c r="K159" s="30"/>
      <c r="L159" s="30"/>
      <c r="M159" s="30"/>
      <c r="N159" s="30"/>
      <c r="O159" s="30"/>
      <c r="P159" s="30"/>
      <c r="Q159" s="30"/>
      <c r="R159" s="30"/>
    </row>
    <row r="160" spans="2:18" x14ac:dyDescent="0.3">
      <c r="B160" s="30"/>
      <c r="C160" s="30"/>
      <c r="D160" s="30"/>
      <c r="E160" s="30"/>
      <c r="F160" s="30"/>
      <c r="G160" s="30"/>
      <c r="H160" s="30"/>
      <c r="I160" s="30"/>
      <c r="J160" s="30"/>
      <c r="K160" s="30"/>
      <c r="L160" s="30"/>
      <c r="M160" s="30"/>
      <c r="N160" s="30"/>
      <c r="O160" s="30"/>
      <c r="P160" s="30"/>
      <c r="Q160" s="30"/>
      <c r="R160" s="30"/>
    </row>
    <row r="161" spans="2:18" x14ac:dyDescent="0.3">
      <c r="B161" s="30"/>
      <c r="C161" s="30"/>
      <c r="D161" s="30"/>
      <c r="E161" s="30"/>
      <c r="F161" s="30"/>
      <c r="G161" s="30"/>
      <c r="H161" s="30"/>
      <c r="I161" s="30"/>
      <c r="J161" s="30"/>
      <c r="K161" s="30"/>
      <c r="L161" s="30"/>
      <c r="M161" s="30"/>
      <c r="N161" s="30"/>
      <c r="O161" s="30"/>
      <c r="P161" s="30"/>
      <c r="Q161" s="30"/>
      <c r="R161" s="30"/>
    </row>
    <row r="162" spans="2:18" x14ac:dyDescent="0.3">
      <c r="B162" s="30"/>
      <c r="C162" s="30"/>
      <c r="D162" s="30"/>
      <c r="E162" s="30"/>
      <c r="F162" s="30"/>
      <c r="G162" s="30"/>
      <c r="H162" s="30"/>
      <c r="I162" s="30"/>
      <c r="J162" s="30"/>
      <c r="K162" s="30"/>
      <c r="L162" s="30"/>
      <c r="M162" s="30"/>
      <c r="N162" s="30"/>
      <c r="O162" s="30"/>
      <c r="P162" s="30"/>
      <c r="Q162" s="30"/>
      <c r="R162" s="30"/>
    </row>
    <row r="163" spans="2:18" x14ac:dyDescent="0.3">
      <c r="B163" s="30"/>
      <c r="C163" s="30"/>
      <c r="D163" s="30"/>
      <c r="E163" s="30"/>
      <c r="F163" s="30"/>
      <c r="G163" s="30"/>
      <c r="H163" s="30"/>
      <c r="I163" s="30"/>
      <c r="J163" s="30"/>
      <c r="K163" s="30"/>
      <c r="L163" s="30"/>
      <c r="M163" s="30"/>
      <c r="N163" s="30"/>
      <c r="O163" s="30"/>
      <c r="P163" s="30"/>
      <c r="Q163" s="30"/>
      <c r="R163" s="30"/>
    </row>
    <row r="164" spans="2:18" x14ac:dyDescent="0.3">
      <c r="B164" s="30"/>
      <c r="C164" s="30"/>
      <c r="D164" s="30"/>
      <c r="E164" s="30"/>
      <c r="F164" s="30"/>
      <c r="G164" s="30"/>
      <c r="H164" s="30"/>
      <c r="I164" s="30"/>
      <c r="J164" s="30"/>
      <c r="K164" s="30"/>
      <c r="L164" s="30"/>
      <c r="M164" s="30"/>
      <c r="N164" s="30"/>
      <c r="O164" s="30"/>
      <c r="P164" s="30"/>
      <c r="Q164" s="30"/>
      <c r="R164" s="30"/>
    </row>
    <row r="165" spans="2:18" x14ac:dyDescent="0.3">
      <c r="B165" s="30"/>
      <c r="C165" s="30"/>
      <c r="D165" s="30"/>
      <c r="E165" s="30"/>
      <c r="F165" s="30"/>
      <c r="G165" s="30"/>
      <c r="H165" s="30"/>
      <c r="I165" s="30"/>
      <c r="J165" s="30"/>
      <c r="K165" s="30"/>
      <c r="L165" s="30"/>
      <c r="M165" s="30"/>
      <c r="N165" s="30"/>
      <c r="O165" s="30"/>
      <c r="P165" s="30"/>
      <c r="Q165" s="30"/>
      <c r="R165" s="30"/>
    </row>
    <row r="166" spans="2:18" x14ac:dyDescent="0.3">
      <c r="B166" s="30"/>
      <c r="C166" s="30"/>
      <c r="D166" s="30"/>
      <c r="E166" s="30"/>
      <c r="F166" s="30"/>
      <c r="G166" s="30"/>
      <c r="H166" s="30"/>
      <c r="I166" s="30"/>
      <c r="J166" s="30"/>
      <c r="K166" s="30"/>
      <c r="L166" s="30"/>
      <c r="M166" s="30"/>
      <c r="N166" s="30"/>
      <c r="O166" s="30"/>
      <c r="P166" s="30"/>
      <c r="Q166" s="30"/>
      <c r="R166" s="30"/>
    </row>
    <row r="167" spans="2:18" x14ac:dyDescent="0.3">
      <c r="B167" s="30"/>
      <c r="C167" s="30"/>
      <c r="D167" s="30"/>
      <c r="E167" s="30"/>
      <c r="F167" s="30"/>
      <c r="G167" s="30"/>
      <c r="H167" s="30"/>
      <c r="I167" s="30"/>
      <c r="J167" s="30"/>
      <c r="K167" s="30"/>
      <c r="L167" s="30"/>
      <c r="M167" s="30"/>
      <c r="N167" s="30"/>
      <c r="O167" s="30"/>
      <c r="P167" s="30"/>
      <c r="Q167" s="30"/>
      <c r="R167" s="30"/>
    </row>
    <row r="168" spans="2:18" x14ac:dyDescent="0.3">
      <c r="B168" s="30"/>
      <c r="C168" s="30"/>
      <c r="D168" s="30"/>
      <c r="E168" s="30"/>
      <c r="F168" s="30"/>
      <c r="G168" s="30"/>
      <c r="H168" s="30"/>
      <c r="I168" s="30"/>
      <c r="J168" s="30"/>
      <c r="K168" s="30"/>
      <c r="L168" s="30"/>
      <c r="M168" s="30"/>
      <c r="N168" s="30"/>
      <c r="O168" s="30"/>
      <c r="P168" s="30"/>
      <c r="Q168" s="30"/>
      <c r="R168" s="30"/>
    </row>
    <row r="169" spans="2:18" x14ac:dyDescent="0.3">
      <c r="B169" s="30"/>
      <c r="C169" s="30"/>
      <c r="D169" s="30"/>
      <c r="E169" s="30"/>
      <c r="F169" s="30"/>
      <c r="G169" s="30"/>
      <c r="H169" s="30"/>
      <c r="I169" s="30"/>
      <c r="J169" s="30"/>
      <c r="K169" s="30"/>
      <c r="L169" s="30"/>
      <c r="M169" s="30"/>
      <c r="N169" s="30"/>
      <c r="O169" s="30"/>
      <c r="P169" s="30"/>
      <c r="Q169" s="30"/>
      <c r="R169" s="30"/>
    </row>
    <row r="170" spans="2:18" x14ac:dyDescent="0.3">
      <c r="B170" s="30"/>
      <c r="C170" s="30"/>
      <c r="D170" s="30"/>
      <c r="E170" s="30"/>
      <c r="F170" s="30"/>
      <c r="G170" s="30"/>
      <c r="H170" s="30"/>
      <c r="I170" s="30"/>
      <c r="J170" s="30"/>
      <c r="K170" s="30"/>
      <c r="L170" s="30"/>
      <c r="M170" s="30"/>
      <c r="N170" s="30"/>
      <c r="O170" s="30"/>
      <c r="P170" s="30"/>
      <c r="Q170" s="30"/>
      <c r="R170" s="30"/>
    </row>
    <row r="171" spans="2:18" x14ac:dyDescent="0.3">
      <c r="B171" s="30"/>
      <c r="C171" s="30"/>
      <c r="D171" s="30"/>
      <c r="E171" s="30"/>
      <c r="F171" s="30"/>
      <c r="G171" s="30"/>
      <c r="H171" s="30"/>
      <c r="I171" s="30"/>
      <c r="J171" s="30"/>
      <c r="K171" s="30"/>
      <c r="L171" s="30"/>
      <c r="M171" s="30"/>
      <c r="N171" s="30"/>
      <c r="O171" s="30"/>
      <c r="P171" s="30"/>
      <c r="Q171" s="30"/>
      <c r="R171" s="30"/>
    </row>
    <row r="172" spans="2:18" x14ac:dyDescent="0.3">
      <c r="B172" s="30"/>
      <c r="C172" s="30"/>
      <c r="D172" s="30"/>
      <c r="E172" s="30"/>
      <c r="F172" s="30"/>
      <c r="G172" s="30"/>
      <c r="H172" s="30"/>
      <c r="I172" s="30"/>
      <c r="J172" s="30"/>
      <c r="K172" s="30"/>
      <c r="L172" s="30"/>
      <c r="M172" s="30"/>
      <c r="N172" s="30"/>
      <c r="O172" s="30"/>
      <c r="P172" s="30"/>
      <c r="Q172" s="30"/>
      <c r="R172" s="30"/>
    </row>
    <row r="173" spans="2:18" x14ac:dyDescent="0.3">
      <c r="B173" s="30"/>
      <c r="C173" s="30"/>
      <c r="D173" s="30"/>
      <c r="E173" s="30"/>
      <c r="F173" s="30"/>
      <c r="G173" s="30"/>
      <c r="H173" s="30"/>
      <c r="I173" s="30"/>
      <c r="J173" s="30"/>
      <c r="K173" s="30"/>
      <c r="L173" s="30"/>
      <c r="M173" s="30"/>
      <c r="N173" s="30"/>
      <c r="O173" s="30"/>
      <c r="P173" s="30"/>
      <c r="Q173" s="30"/>
      <c r="R173" s="30"/>
    </row>
    <row r="174" spans="2:18" x14ac:dyDescent="0.3">
      <c r="B174" s="30"/>
      <c r="C174" s="30"/>
      <c r="D174" s="30"/>
      <c r="E174" s="30"/>
      <c r="F174" s="30"/>
      <c r="G174" s="30"/>
      <c r="H174" s="30"/>
      <c r="I174" s="30"/>
      <c r="J174" s="30"/>
      <c r="K174" s="30"/>
      <c r="L174" s="30"/>
      <c r="M174" s="30"/>
      <c r="N174" s="30"/>
      <c r="O174" s="30"/>
      <c r="P174" s="30"/>
      <c r="Q174" s="30"/>
      <c r="R174" s="30"/>
    </row>
    <row r="175" spans="2:18" x14ac:dyDescent="0.3">
      <c r="B175" s="30"/>
      <c r="C175" s="30"/>
      <c r="D175" s="30"/>
      <c r="E175" s="30"/>
      <c r="F175" s="30"/>
      <c r="G175" s="30"/>
      <c r="H175" s="30"/>
      <c r="I175" s="30"/>
      <c r="J175" s="30"/>
      <c r="K175" s="30"/>
      <c r="L175" s="30"/>
      <c r="M175" s="30"/>
      <c r="N175" s="30"/>
      <c r="O175" s="30"/>
      <c r="P175" s="30"/>
      <c r="Q175" s="30"/>
      <c r="R175" s="30"/>
    </row>
    <row r="176" spans="2:18" x14ac:dyDescent="0.3">
      <c r="B176" s="30"/>
      <c r="C176" s="30"/>
      <c r="D176" s="30"/>
      <c r="E176" s="30"/>
      <c r="F176" s="30"/>
      <c r="G176" s="30"/>
      <c r="H176" s="30"/>
      <c r="I176" s="30"/>
      <c r="J176" s="30"/>
      <c r="K176" s="30"/>
      <c r="L176" s="30"/>
      <c r="M176" s="30"/>
      <c r="N176" s="30"/>
      <c r="O176" s="30"/>
      <c r="P176" s="30"/>
      <c r="Q176" s="30"/>
      <c r="R176" s="30"/>
    </row>
    <row r="177" spans="2:18" x14ac:dyDescent="0.3">
      <c r="B177" s="30"/>
      <c r="C177" s="30"/>
      <c r="D177" s="30"/>
      <c r="E177" s="30"/>
      <c r="F177" s="30"/>
      <c r="G177" s="30"/>
      <c r="H177" s="30"/>
      <c r="I177" s="30"/>
      <c r="J177" s="30"/>
      <c r="K177" s="30"/>
      <c r="L177" s="30"/>
      <c r="M177" s="30"/>
      <c r="N177" s="30"/>
      <c r="O177" s="30"/>
      <c r="P177" s="30"/>
      <c r="Q177" s="30"/>
      <c r="R177" s="30"/>
    </row>
    <row r="178" spans="2:18" x14ac:dyDescent="0.3">
      <c r="B178" s="30"/>
      <c r="C178" s="30"/>
      <c r="D178" s="30"/>
      <c r="E178" s="30"/>
      <c r="F178" s="30"/>
      <c r="G178" s="30"/>
      <c r="H178" s="30"/>
      <c r="I178" s="30"/>
      <c r="J178" s="30"/>
      <c r="K178" s="30"/>
      <c r="L178" s="30"/>
      <c r="M178" s="30"/>
      <c r="N178" s="30"/>
      <c r="O178" s="30"/>
      <c r="P178" s="30"/>
      <c r="Q178" s="30"/>
      <c r="R178" s="30"/>
    </row>
    <row r="179" spans="2:18" x14ac:dyDescent="0.3">
      <c r="B179" s="30"/>
      <c r="C179" s="30"/>
      <c r="D179" s="30"/>
      <c r="E179" s="30"/>
      <c r="F179" s="30"/>
      <c r="G179" s="30"/>
      <c r="H179" s="30"/>
      <c r="I179" s="30"/>
      <c r="J179" s="30"/>
      <c r="K179" s="30"/>
      <c r="L179" s="30"/>
      <c r="M179" s="30"/>
      <c r="N179" s="30"/>
      <c r="O179" s="30"/>
      <c r="P179" s="30"/>
      <c r="Q179" s="30"/>
      <c r="R179" s="30"/>
    </row>
    <row r="180" spans="2:18" x14ac:dyDescent="0.3">
      <c r="B180" s="30"/>
      <c r="C180" s="30"/>
      <c r="D180" s="30"/>
      <c r="E180" s="30"/>
      <c r="F180" s="30"/>
      <c r="G180" s="30"/>
      <c r="H180" s="30"/>
      <c r="I180" s="30"/>
      <c r="J180" s="30"/>
      <c r="K180" s="30"/>
      <c r="L180" s="30"/>
      <c r="M180" s="30"/>
      <c r="N180" s="30"/>
      <c r="O180" s="30"/>
      <c r="P180" s="30"/>
      <c r="Q180" s="30"/>
      <c r="R180" s="30"/>
    </row>
    <row r="181" spans="2:18" x14ac:dyDescent="0.3">
      <c r="B181" s="30"/>
      <c r="C181" s="30"/>
      <c r="D181" s="30"/>
      <c r="E181" s="30"/>
      <c r="F181" s="30"/>
      <c r="G181" s="30"/>
      <c r="H181" s="30"/>
      <c r="I181" s="30"/>
      <c r="J181" s="30"/>
      <c r="K181" s="30"/>
      <c r="L181" s="30"/>
      <c r="M181" s="30"/>
      <c r="N181" s="30"/>
      <c r="O181" s="30"/>
      <c r="P181" s="30"/>
      <c r="Q181" s="30"/>
      <c r="R181" s="30"/>
    </row>
    <row r="182" spans="2:18" x14ac:dyDescent="0.3">
      <c r="B182" s="30"/>
      <c r="C182" s="30"/>
      <c r="D182" s="30"/>
      <c r="E182" s="30"/>
      <c r="F182" s="30"/>
      <c r="G182" s="30"/>
      <c r="H182" s="30"/>
      <c r="I182" s="30"/>
      <c r="J182" s="30"/>
      <c r="K182" s="30"/>
      <c r="L182" s="30"/>
      <c r="M182" s="30"/>
      <c r="N182" s="30"/>
      <c r="O182" s="30"/>
      <c r="P182" s="30"/>
      <c r="Q182" s="30"/>
      <c r="R182" s="30"/>
    </row>
    <row r="183" spans="2:18" x14ac:dyDescent="0.3">
      <c r="B183" s="30"/>
      <c r="C183" s="30"/>
      <c r="D183" s="30"/>
      <c r="E183" s="30"/>
      <c r="F183" s="30"/>
      <c r="G183" s="30"/>
      <c r="H183" s="30"/>
      <c r="I183" s="30"/>
      <c r="J183" s="30"/>
      <c r="K183" s="30"/>
      <c r="L183" s="30"/>
      <c r="M183" s="30"/>
      <c r="N183" s="30"/>
      <c r="O183" s="30"/>
      <c r="P183" s="30"/>
      <c r="Q183" s="30"/>
      <c r="R183" s="30"/>
    </row>
    <row r="184" spans="2:18" x14ac:dyDescent="0.3">
      <c r="B184" s="30"/>
      <c r="C184" s="30"/>
      <c r="D184" s="30"/>
      <c r="E184" s="30"/>
      <c r="F184" s="30"/>
      <c r="G184" s="30"/>
      <c r="H184" s="30"/>
      <c r="I184" s="30"/>
      <c r="J184" s="30"/>
      <c r="K184" s="30"/>
      <c r="L184" s="30"/>
      <c r="M184" s="30"/>
      <c r="N184" s="30"/>
      <c r="O184" s="30"/>
      <c r="P184" s="30"/>
      <c r="Q184" s="30"/>
      <c r="R184" s="30"/>
    </row>
    <row r="185" spans="2:18" x14ac:dyDescent="0.3">
      <c r="B185" s="30"/>
      <c r="C185" s="30"/>
      <c r="D185" s="30"/>
      <c r="E185" s="30"/>
      <c r="F185" s="30"/>
      <c r="G185" s="30"/>
      <c r="H185" s="30"/>
      <c r="I185" s="30"/>
      <c r="J185" s="30"/>
      <c r="K185" s="30"/>
      <c r="L185" s="30"/>
      <c r="M185" s="30"/>
      <c r="N185" s="30"/>
      <c r="O185" s="30"/>
      <c r="P185" s="30"/>
      <c r="Q185" s="30"/>
      <c r="R185" s="30"/>
    </row>
    <row r="186" spans="2:18" x14ac:dyDescent="0.3">
      <c r="B186" s="30"/>
      <c r="C186" s="30"/>
      <c r="D186" s="30"/>
      <c r="E186" s="30"/>
      <c r="F186" s="30"/>
      <c r="G186" s="30"/>
      <c r="H186" s="30"/>
      <c r="I186" s="30"/>
      <c r="J186" s="30"/>
      <c r="K186" s="30"/>
      <c r="L186" s="30"/>
      <c r="M186" s="30"/>
      <c r="N186" s="30"/>
      <c r="O186" s="30"/>
      <c r="P186" s="30"/>
      <c r="Q186" s="30"/>
      <c r="R186" s="30"/>
    </row>
    <row r="187" spans="2:18" x14ac:dyDescent="0.3">
      <c r="B187" s="30"/>
      <c r="C187" s="30"/>
      <c r="D187" s="30"/>
      <c r="E187" s="30"/>
      <c r="F187" s="30"/>
      <c r="G187" s="30"/>
      <c r="H187" s="30"/>
      <c r="I187" s="30"/>
      <c r="J187" s="30"/>
      <c r="K187" s="30"/>
      <c r="L187" s="30"/>
      <c r="M187" s="30"/>
      <c r="N187" s="30"/>
      <c r="O187" s="30"/>
      <c r="P187" s="30"/>
      <c r="Q187" s="30"/>
      <c r="R187" s="30"/>
    </row>
    <row r="188" spans="2:18" x14ac:dyDescent="0.3">
      <c r="B188" s="30"/>
      <c r="C188" s="30"/>
      <c r="D188" s="30"/>
      <c r="E188" s="30"/>
      <c r="F188" s="30"/>
      <c r="G188" s="30"/>
      <c r="H188" s="30"/>
      <c r="I188" s="30"/>
      <c r="J188" s="30"/>
      <c r="K188" s="30"/>
      <c r="L188" s="30"/>
      <c r="M188" s="30"/>
      <c r="N188" s="30"/>
      <c r="O188" s="30"/>
      <c r="P188" s="30"/>
      <c r="Q188" s="30"/>
      <c r="R188" s="30"/>
    </row>
    <row r="189" spans="2:18" x14ac:dyDescent="0.3">
      <c r="B189" s="30"/>
      <c r="C189" s="30"/>
      <c r="D189" s="30"/>
      <c r="E189" s="30"/>
      <c r="F189" s="30"/>
      <c r="G189" s="30"/>
      <c r="H189" s="30"/>
      <c r="I189" s="30"/>
      <c r="J189" s="30"/>
      <c r="K189" s="30"/>
      <c r="L189" s="30"/>
      <c r="M189" s="30"/>
      <c r="N189" s="30"/>
      <c r="O189" s="30"/>
      <c r="P189" s="30"/>
      <c r="Q189" s="30"/>
      <c r="R189" s="30"/>
    </row>
    <row r="190" spans="2:18" x14ac:dyDescent="0.3">
      <c r="B190" s="30"/>
      <c r="C190" s="30"/>
      <c r="D190" s="30"/>
      <c r="E190" s="30"/>
      <c r="F190" s="30"/>
      <c r="G190" s="30"/>
      <c r="H190" s="30"/>
      <c r="I190" s="30"/>
      <c r="J190" s="30"/>
      <c r="K190" s="30"/>
      <c r="L190" s="30"/>
      <c r="M190" s="30"/>
      <c r="N190" s="30"/>
      <c r="O190" s="30"/>
      <c r="P190" s="30"/>
      <c r="Q190" s="30"/>
      <c r="R190" s="30"/>
    </row>
    <row r="191" spans="2:18" x14ac:dyDescent="0.3">
      <c r="B191" s="30"/>
      <c r="C191" s="30"/>
      <c r="D191" s="30"/>
      <c r="E191" s="30"/>
      <c r="F191" s="30"/>
      <c r="G191" s="30"/>
      <c r="H191" s="30"/>
      <c r="I191" s="30"/>
      <c r="J191" s="30"/>
      <c r="K191" s="30"/>
      <c r="L191" s="30"/>
      <c r="M191" s="30"/>
      <c r="N191" s="30"/>
      <c r="O191" s="30"/>
      <c r="P191" s="30"/>
      <c r="Q191" s="30"/>
      <c r="R191" s="30"/>
    </row>
    <row r="192" spans="2:18" x14ac:dyDescent="0.3">
      <c r="B192" s="30"/>
      <c r="C192" s="30"/>
      <c r="D192" s="30"/>
      <c r="E192" s="30"/>
      <c r="F192" s="30"/>
      <c r="G192" s="30"/>
      <c r="H192" s="30"/>
      <c r="I192" s="30"/>
      <c r="J192" s="30"/>
      <c r="K192" s="30"/>
      <c r="L192" s="30"/>
      <c r="M192" s="30"/>
      <c r="N192" s="30"/>
      <c r="O192" s="30"/>
      <c r="P192" s="30"/>
      <c r="Q192" s="30"/>
      <c r="R192" s="30"/>
    </row>
    <row r="193" spans="2:18" x14ac:dyDescent="0.3">
      <c r="B193" s="30"/>
      <c r="C193" s="30"/>
      <c r="D193" s="30"/>
      <c r="E193" s="30"/>
      <c r="F193" s="30"/>
      <c r="G193" s="30"/>
      <c r="H193" s="30"/>
      <c r="I193" s="30"/>
      <c r="J193" s="30"/>
      <c r="K193" s="30"/>
      <c r="L193" s="30"/>
      <c r="M193" s="30"/>
      <c r="N193" s="30"/>
      <c r="O193" s="30"/>
      <c r="P193" s="30"/>
      <c r="Q193" s="30"/>
      <c r="R193" s="30"/>
    </row>
    <row r="194" spans="2:18" x14ac:dyDescent="0.3">
      <c r="B194" s="30"/>
      <c r="C194" s="30"/>
      <c r="D194" s="30"/>
      <c r="E194" s="30"/>
      <c r="F194" s="30"/>
      <c r="G194" s="30"/>
      <c r="H194" s="30"/>
      <c r="I194" s="30"/>
      <c r="J194" s="30"/>
      <c r="K194" s="30"/>
      <c r="L194" s="30"/>
      <c r="M194" s="30"/>
      <c r="N194" s="30"/>
      <c r="O194" s="30"/>
      <c r="P194" s="30"/>
      <c r="Q194" s="30"/>
      <c r="R194" s="30"/>
    </row>
    <row r="195" spans="2:18" x14ac:dyDescent="0.3">
      <c r="B195" s="30"/>
      <c r="C195" s="30"/>
      <c r="D195" s="30"/>
      <c r="E195" s="30"/>
      <c r="F195" s="30"/>
      <c r="G195" s="30"/>
      <c r="H195" s="30"/>
      <c r="I195" s="30"/>
      <c r="J195" s="30"/>
      <c r="K195" s="30"/>
      <c r="L195" s="30"/>
      <c r="M195" s="30"/>
      <c r="N195" s="30"/>
      <c r="O195" s="30"/>
      <c r="P195" s="30"/>
      <c r="Q195" s="30"/>
      <c r="R195" s="30"/>
    </row>
    <row r="196" spans="2:18" x14ac:dyDescent="0.3">
      <c r="B196" s="30"/>
      <c r="C196" s="30"/>
      <c r="D196" s="30"/>
      <c r="E196" s="30"/>
      <c r="F196" s="30"/>
      <c r="G196" s="30"/>
      <c r="H196" s="30"/>
      <c r="I196" s="30"/>
      <c r="J196" s="30"/>
      <c r="K196" s="30"/>
      <c r="L196" s="30"/>
      <c r="M196" s="30"/>
      <c r="N196" s="30"/>
      <c r="O196" s="30"/>
      <c r="P196" s="30"/>
      <c r="Q196" s="30"/>
      <c r="R196" s="30"/>
    </row>
    <row r="197" spans="2:18" x14ac:dyDescent="0.3">
      <c r="B197" s="30"/>
      <c r="C197" s="30"/>
      <c r="D197" s="30"/>
      <c r="E197" s="30"/>
      <c r="F197" s="30"/>
      <c r="G197" s="30"/>
      <c r="H197" s="30"/>
      <c r="I197" s="30"/>
      <c r="J197" s="30"/>
      <c r="K197" s="30"/>
      <c r="L197" s="30"/>
      <c r="M197" s="30"/>
      <c r="N197" s="30"/>
      <c r="O197" s="30"/>
      <c r="P197" s="30"/>
      <c r="Q197" s="30"/>
      <c r="R197" s="30"/>
    </row>
    <row r="198" spans="2:18" x14ac:dyDescent="0.3">
      <c r="B198" s="30"/>
      <c r="C198" s="30"/>
      <c r="D198" s="30"/>
      <c r="E198" s="30"/>
      <c r="F198" s="30"/>
      <c r="G198" s="30"/>
      <c r="H198" s="30"/>
      <c r="I198" s="30"/>
      <c r="J198" s="30"/>
      <c r="K198" s="30"/>
      <c r="L198" s="30"/>
      <c r="M198" s="30"/>
      <c r="N198" s="30"/>
      <c r="O198" s="30"/>
      <c r="P198" s="30"/>
      <c r="Q198" s="30"/>
      <c r="R198" s="30"/>
    </row>
    <row r="199" spans="2:18" x14ac:dyDescent="0.3">
      <c r="B199" s="30"/>
      <c r="C199" s="30"/>
      <c r="D199" s="30"/>
      <c r="E199" s="30"/>
      <c r="F199" s="30"/>
      <c r="G199" s="30"/>
      <c r="H199" s="30"/>
      <c r="I199" s="30"/>
      <c r="J199" s="30"/>
      <c r="K199" s="30"/>
      <c r="L199" s="30"/>
      <c r="M199" s="30"/>
      <c r="N199" s="30"/>
      <c r="O199" s="30"/>
      <c r="P199" s="30"/>
      <c r="Q199" s="30"/>
      <c r="R199" s="30"/>
    </row>
    <row r="200" spans="2:18" x14ac:dyDescent="0.3">
      <c r="B200" s="30"/>
      <c r="C200" s="30"/>
      <c r="D200" s="30"/>
      <c r="E200" s="30"/>
      <c r="F200" s="30"/>
      <c r="G200" s="30"/>
      <c r="H200" s="30"/>
      <c r="I200" s="30"/>
      <c r="J200" s="30"/>
      <c r="K200" s="30"/>
      <c r="L200" s="30"/>
      <c r="M200" s="30"/>
      <c r="N200" s="30"/>
      <c r="O200" s="30"/>
      <c r="P200" s="30"/>
      <c r="Q200" s="30"/>
      <c r="R200" s="30"/>
    </row>
    <row r="201" spans="2:18" x14ac:dyDescent="0.3">
      <c r="B201" s="30"/>
      <c r="C201" s="30"/>
      <c r="D201" s="30"/>
      <c r="E201" s="30"/>
      <c r="F201" s="30"/>
      <c r="G201" s="30"/>
      <c r="H201" s="30"/>
      <c r="I201" s="30"/>
      <c r="J201" s="30"/>
      <c r="K201" s="30"/>
      <c r="L201" s="30"/>
      <c r="M201" s="30"/>
      <c r="N201" s="30"/>
      <c r="O201" s="30"/>
      <c r="P201" s="30"/>
      <c r="Q201" s="30"/>
      <c r="R201" s="30"/>
    </row>
    <row r="202" spans="2:18" x14ac:dyDescent="0.3">
      <c r="B202" s="30"/>
      <c r="C202" s="30"/>
      <c r="D202" s="30"/>
      <c r="E202" s="30"/>
      <c r="F202" s="30"/>
      <c r="G202" s="30"/>
      <c r="H202" s="30"/>
      <c r="I202" s="30"/>
      <c r="J202" s="30"/>
      <c r="K202" s="30"/>
      <c r="L202" s="30"/>
      <c r="M202" s="30"/>
      <c r="N202" s="30"/>
      <c r="O202" s="30"/>
      <c r="P202" s="30"/>
      <c r="Q202" s="30"/>
      <c r="R202" s="30"/>
    </row>
    <row r="203" spans="2:18" x14ac:dyDescent="0.3">
      <c r="B203" s="30"/>
      <c r="C203" s="30"/>
      <c r="D203" s="30"/>
      <c r="E203" s="30"/>
      <c r="F203" s="30"/>
      <c r="G203" s="30"/>
      <c r="H203" s="30"/>
      <c r="I203" s="30"/>
      <c r="J203" s="30"/>
      <c r="K203" s="30"/>
      <c r="L203" s="30"/>
      <c r="M203" s="30"/>
      <c r="N203" s="30"/>
      <c r="O203" s="30"/>
      <c r="P203" s="30"/>
      <c r="Q203" s="30"/>
      <c r="R203" s="30"/>
    </row>
    <row r="204" spans="2:18" x14ac:dyDescent="0.3">
      <c r="B204" s="30"/>
      <c r="C204" s="30"/>
      <c r="D204" s="30"/>
      <c r="E204" s="30"/>
      <c r="F204" s="30"/>
      <c r="G204" s="30"/>
      <c r="H204" s="30"/>
      <c r="I204" s="30"/>
      <c r="J204" s="30"/>
      <c r="K204" s="30"/>
      <c r="L204" s="30"/>
      <c r="M204" s="30"/>
      <c r="N204" s="30"/>
      <c r="O204" s="30"/>
      <c r="P204" s="30"/>
      <c r="Q204" s="30"/>
      <c r="R204" s="30"/>
    </row>
    <row r="205" spans="2:18" x14ac:dyDescent="0.3">
      <c r="B205" s="30"/>
      <c r="C205" s="30"/>
      <c r="D205" s="30"/>
      <c r="E205" s="30"/>
      <c r="F205" s="30"/>
      <c r="G205" s="30"/>
      <c r="H205" s="30"/>
      <c r="I205" s="30"/>
      <c r="J205" s="30"/>
      <c r="K205" s="30"/>
      <c r="L205" s="30"/>
      <c r="M205" s="30"/>
      <c r="N205" s="30"/>
      <c r="O205" s="30"/>
      <c r="P205" s="30"/>
      <c r="Q205" s="30"/>
      <c r="R205" s="30"/>
    </row>
    <row r="206" spans="2:18" x14ac:dyDescent="0.3">
      <c r="B206" s="30"/>
      <c r="C206" s="30"/>
      <c r="D206" s="30"/>
      <c r="E206" s="30"/>
      <c r="F206" s="30"/>
      <c r="G206" s="30"/>
      <c r="H206" s="30"/>
      <c r="I206" s="30"/>
      <c r="J206" s="30"/>
      <c r="K206" s="30"/>
      <c r="L206" s="30"/>
      <c r="M206" s="30"/>
      <c r="N206" s="30"/>
      <c r="O206" s="30"/>
      <c r="P206" s="30"/>
      <c r="Q206" s="30"/>
      <c r="R206" s="30"/>
    </row>
    <row r="207" spans="2:18" x14ac:dyDescent="0.3">
      <c r="B207" s="30"/>
      <c r="C207" s="30"/>
      <c r="D207" s="30"/>
      <c r="E207" s="30"/>
      <c r="F207" s="30"/>
      <c r="G207" s="30"/>
      <c r="H207" s="30"/>
      <c r="I207" s="30"/>
      <c r="J207" s="30"/>
      <c r="K207" s="30"/>
      <c r="L207" s="30"/>
      <c r="M207" s="30"/>
      <c r="N207" s="30"/>
      <c r="O207" s="30"/>
      <c r="P207" s="30"/>
      <c r="Q207" s="30"/>
      <c r="R207" s="30"/>
    </row>
    <row r="208" spans="2:18" x14ac:dyDescent="0.3">
      <c r="B208" s="30"/>
      <c r="C208" s="30"/>
      <c r="D208" s="30"/>
      <c r="E208" s="30"/>
      <c r="F208" s="30"/>
      <c r="G208" s="30"/>
      <c r="H208" s="30"/>
      <c r="I208" s="30"/>
      <c r="J208" s="30"/>
      <c r="K208" s="30"/>
      <c r="L208" s="30"/>
      <c r="M208" s="30"/>
      <c r="N208" s="30"/>
      <c r="O208" s="30"/>
      <c r="P208" s="30"/>
      <c r="Q208" s="30"/>
      <c r="R208" s="30"/>
    </row>
    <row r="209" spans="2:18" x14ac:dyDescent="0.3">
      <c r="B209" s="30"/>
      <c r="C209" s="30"/>
      <c r="D209" s="30"/>
      <c r="E209" s="30"/>
      <c r="F209" s="30"/>
      <c r="G209" s="30"/>
      <c r="H209" s="30"/>
      <c r="I209" s="30"/>
      <c r="J209" s="30"/>
      <c r="K209" s="30"/>
      <c r="L209" s="30"/>
      <c r="M209" s="30"/>
      <c r="N209" s="30"/>
      <c r="O209" s="30"/>
      <c r="P209" s="30"/>
      <c r="Q209" s="30"/>
      <c r="R209" s="30"/>
    </row>
    <row r="210" spans="2:18" x14ac:dyDescent="0.3">
      <c r="B210" s="30"/>
      <c r="C210" s="30"/>
      <c r="D210" s="30"/>
      <c r="E210" s="30"/>
      <c r="F210" s="30"/>
      <c r="G210" s="30"/>
      <c r="H210" s="30"/>
      <c r="I210" s="30"/>
      <c r="J210" s="30"/>
      <c r="K210" s="30"/>
      <c r="L210" s="30"/>
      <c r="M210" s="30"/>
      <c r="N210" s="30"/>
      <c r="O210" s="30"/>
      <c r="P210" s="30"/>
      <c r="Q210" s="30"/>
      <c r="R210" s="30"/>
    </row>
    <row r="211" spans="2:18" x14ac:dyDescent="0.3">
      <c r="B211" s="30"/>
      <c r="C211" s="30"/>
      <c r="D211" s="30"/>
      <c r="E211" s="30"/>
      <c r="F211" s="30"/>
      <c r="G211" s="30"/>
      <c r="H211" s="30"/>
      <c r="I211" s="30"/>
      <c r="J211" s="30"/>
      <c r="K211" s="30"/>
      <c r="L211" s="30"/>
      <c r="M211" s="30"/>
      <c r="N211" s="30"/>
      <c r="O211" s="30"/>
      <c r="P211" s="30"/>
      <c r="Q211" s="30"/>
      <c r="R211" s="30"/>
    </row>
    <row r="212" spans="2:18" x14ac:dyDescent="0.3">
      <c r="B212" s="30"/>
      <c r="C212" s="30"/>
      <c r="D212" s="30"/>
      <c r="E212" s="30"/>
      <c r="F212" s="30"/>
      <c r="G212" s="30"/>
      <c r="H212" s="30"/>
      <c r="I212" s="30"/>
      <c r="J212" s="30"/>
      <c r="K212" s="30"/>
      <c r="L212" s="30"/>
      <c r="M212" s="30"/>
      <c r="N212" s="30"/>
      <c r="O212" s="30"/>
      <c r="P212" s="30"/>
      <c r="Q212" s="30"/>
      <c r="R212" s="30"/>
    </row>
    <row r="213" spans="2:18" x14ac:dyDescent="0.3">
      <c r="B213" s="30"/>
      <c r="C213" s="30"/>
      <c r="D213" s="30"/>
      <c r="E213" s="30"/>
      <c r="F213" s="30"/>
      <c r="G213" s="30"/>
      <c r="H213" s="30"/>
      <c r="I213" s="30"/>
      <c r="J213" s="30"/>
      <c r="K213" s="30"/>
      <c r="L213" s="30"/>
      <c r="M213" s="30"/>
      <c r="N213" s="30"/>
      <c r="O213" s="30"/>
      <c r="P213" s="30"/>
      <c r="Q213" s="30"/>
      <c r="R213" s="30"/>
    </row>
    <row r="214" spans="2:18" x14ac:dyDescent="0.3">
      <c r="B214" s="30"/>
      <c r="C214" s="30"/>
      <c r="D214" s="30"/>
      <c r="E214" s="30"/>
      <c r="F214" s="30"/>
      <c r="G214" s="30"/>
      <c r="H214" s="30"/>
      <c r="I214" s="30"/>
      <c r="J214" s="30"/>
      <c r="K214" s="30"/>
      <c r="L214" s="30"/>
      <c r="M214" s="30"/>
      <c r="N214" s="30"/>
      <c r="O214" s="30"/>
      <c r="P214" s="30"/>
      <c r="Q214" s="30"/>
      <c r="R214" s="30"/>
    </row>
    <row r="215" spans="2:18" x14ac:dyDescent="0.3">
      <c r="B215" s="30"/>
      <c r="C215" s="30"/>
      <c r="D215" s="30"/>
      <c r="E215" s="30"/>
      <c r="F215" s="30"/>
      <c r="G215" s="30"/>
      <c r="H215" s="30"/>
      <c r="I215" s="30"/>
      <c r="J215" s="30"/>
      <c r="K215" s="30"/>
      <c r="L215" s="30"/>
      <c r="M215" s="30"/>
      <c r="N215" s="30"/>
      <c r="O215" s="30"/>
      <c r="P215" s="30"/>
      <c r="Q215" s="30"/>
      <c r="R215" s="30"/>
    </row>
    <row r="216" spans="2:18" x14ac:dyDescent="0.3">
      <c r="B216" s="30"/>
      <c r="C216" s="30"/>
      <c r="D216" s="30"/>
      <c r="E216" s="30"/>
      <c r="F216" s="30"/>
      <c r="G216" s="30"/>
      <c r="H216" s="30"/>
      <c r="I216" s="30"/>
      <c r="J216" s="30"/>
      <c r="K216" s="30"/>
      <c r="L216" s="30"/>
      <c r="M216" s="30"/>
      <c r="N216" s="30"/>
      <c r="O216" s="30"/>
      <c r="P216" s="30"/>
      <c r="Q216" s="30"/>
      <c r="R216" s="30"/>
    </row>
    <row r="217" spans="2:18" x14ac:dyDescent="0.3">
      <c r="B217" s="30"/>
      <c r="C217" s="30"/>
      <c r="D217" s="30"/>
      <c r="E217" s="30"/>
      <c r="F217" s="30"/>
      <c r="G217" s="30"/>
      <c r="H217" s="30"/>
      <c r="I217" s="30"/>
      <c r="J217" s="30"/>
      <c r="K217" s="30"/>
      <c r="L217" s="30"/>
      <c r="M217" s="30"/>
      <c r="N217" s="30"/>
      <c r="O217" s="30"/>
      <c r="P217" s="30"/>
      <c r="Q217" s="30"/>
      <c r="R217" s="30"/>
    </row>
    <row r="218" spans="2:18" x14ac:dyDescent="0.3">
      <c r="B218" s="30"/>
      <c r="C218" s="30"/>
      <c r="D218" s="30"/>
      <c r="E218" s="30"/>
      <c r="F218" s="30"/>
      <c r="G218" s="30"/>
      <c r="H218" s="30"/>
      <c r="I218" s="30"/>
      <c r="J218" s="30"/>
      <c r="K218" s="30"/>
      <c r="L218" s="30"/>
      <c r="M218" s="30"/>
      <c r="N218" s="30"/>
      <c r="O218" s="30"/>
      <c r="P218" s="30"/>
      <c r="Q218" s="30"/>
      <c r="R218" s="30"/>
    </row>
    <row r="219" spans="2:18" x14ac:dyDescent="0.3">
      <c r="B219" s="30"/>
      <c r="C219" s="30"/>
      <c r="D219" s="30"/>
      <c r="E219" s="30"/>
      <c r="F219" s="30"/>
      <c r="G219" s="30"/>
      <c r="H219" s="30"/>
      <c r="I219" s="30"/>
      <c r="J219" s="30"/>
      <c r="K219" s="30"/>
      <c r="L219" s="30"/>
      <c r="M219" s="30"/>
      <c r="N219" s="30"/>
      <c r="O219" s="30"/>
      <c r="P219" s="30"/>
      <c r="Q219" s="30"/>
      <c r="R219" s="30"/>
    </row>
    <row r="220" spans="2:18" x14ac:dyDescent="0.3">
      <c r="B220" s="30"/>
      <c r="C220" s="30"/>
      <c r="D220" s="30"/>
      <c r="E220" s="30"/>
      <c r="F220" s="30"/>
      <c r="G220" s="30"/>
      <c r="H220" s="30"/>
      <c r="I220" s="30"/>
      <c r="J220" s="30"/>
      <c r="K220" s="30"/>
      <c r="L220" s="30"/>
      <c r="M220" s="30"/>
      <c r="N220" s="30"/>
      <c r="O220" s="30"/>
      <c r="P220" s="30"/>
      <c r="Q220" s="30"/>
      <c r="R220" s="30"/>
    </row>
    <row r="221" spans="2:18" x14ac:dyDescent="0.3">
      <c r="B221" s="30"/>
      <c r="C221" s="30"/>
      <c r="D221" s="30"/>
      <c r="E221" s="30"/>
      <c r="F221" s="30"/>
      <c r="G221" s="30"/>
      <c r="H221" s="30"/>
      <c r="I221" s="30"/>
      <c r="J221" s="30"/>
      <c r="K221" s="30"/>
      <c r="L221" s="30"/>
      <c r="M221" s="30"/>
      <c r="N221" s="30"/>
      <c r="O221" s="30"/>
      <c r="P221" s="30"/>
      <c r="Q221" s="30"/>
      <c r="R221" s="30"/>
    </row>
    <row r="222" spans="2:18" x14ac:dyDescent="0.3">
      <c r="B222" s="30"/>
      <c r="C222" s="30"/>
      <c r="D222" s="30"/>
      <c r="E222" s="30"/>
      <c r="F222" s="30"/>
      <c r="G222" s="30"/>
      <c r="H222" s="30"/>
      <c r="I222" s="30"/>
      <c r="J222" s="30"/>
      <c r="K222" s="30"/>
      <c r="L222" s="30"/>
      <c r="M222" s="30"/>
      <c r="N222" s="30"/>
      <c r="O222" s="30"/>
      <c r="P222" s="30"/>
      <c r="Q222" s="30"/>
      <c r="R222" s="30"/>
    </row>
    <row r="223" spans="2:18" x14ac:dyDescent="0.3">
      <c r="B223" s="30"/>
      <c r="C223" s="30"/>
      <c r="D223" s="30"/>
      <c r="E223" s="30"/>
      <c r="F223" s="30"/>
      <c r="G223" s="30"/>
      <c r="H223" s="30"/>
      <c r="I223" s="30"/>
      <c r="J223" s="30"/>
      <c r="K223" s="30"/>
      <c r="L223" s="30"/>
      <c r="M223" s="30"/>
      <c r="N223" s="30"/>
      <c r="O223" s="30"/>
      <c r="P223" s="30"/>
      <c r="Q223" s="30"/>
      <c r="R223" s="30"/>
    </row>
    <row r="224" spans="2:18" x14ac:dyDescent="0.3">
      <c r="B224" s="30"/>
      <c r="C224" s="30"/>
      <c r="D224" s="30"/>
      <c r="E224" s="30"/>
      <c r="F224" s="30"/>
      <c r="G224" s="30"/>
      <c r="H224" s="30"/>
      <c r="I224" s="30"/>
      <c r="J224" s="30"/>
      <c r="K224" s="30"/>
      <c r="L224" s="30"/>
      <c r="M224" s="30"/>
      <c r="N224" s="30"/>
      <c r="O224" s="30"/>
      <c r="P224" s="30"/>
      <c r="Q224" s="30"/>
      <c r="R224" s="30"/>
    </row>
    <row r="225" spans="2:18" x14ac:dyDescent="0.3">
      <c r="B225" s="30"/>
      <c r="C225" s="30"/>
      <c r="D225" s="30"/>
      <c r="E225" s="30"/>
      <c r="F225" s="30"/>
      <c r="G225" s="30"/>
      <c r="H225" s="30"/>
      <c r="I225" s="30"/>
      <c r="J225" s="30"/>
      <c r="K225" s="30"/>
      <c r="L225" s="30"/>
      <c r="M225" s="30"/>
      <c r="N225" s="30"/>
      <c r="O225" s="30"/>
      <c r="P225" s="30"/>
      <c r="Q225" s="30"/>
      <c r="R225" s="30"/>
    </row>
    <row r="226" spans="2:18" x14ac:dyDescent="0.3">
      <c r="B226" s="30"/>
      <c r="C226" s="30"/>
      <c r="D226" s="30"/>
      <c r="E226" s="30"/>
      <c r="F226" s="30"/>
      <c r="G226" s="30"/>
      <c r="H226" s="30"/>
      <c r="I226" s="30"/>
      <c r="J226" s="30"/>
      <c r="K226" s="30"/>
      <c r="L226" s="30"/>
      <c r="M226" s="30"/>
      <c r="N226" s="30"/>
      <c r="O226" s="30"/>
      <c r="P226" s="30"/>
      <c r="Q226" s="30"/>
      <c r="R226" s="30"/>
    </row>
    <row r="227" spans="2:18" x14ac:dyDescent="0.3">
      <c r="B227" s="30"/>
      <c r="C227" s="30"/>
      <c r="D227" s="30"/>
      <c r="E227" s="30"/>
      <c r="F227" s="30"/>
      <c r="G227" s="30"/>
      <c r="H227" s="30"/>
      <c r="I227" s="30"/>
      <c r="J227" s="30"/>
      <c r="K227" s="30"/>
      <c r="L227" s="30"/>
      <c r="M227" s="30"/>
      <c r="N227" s="30"/>
      <c r="O227" s="30"/>
      <c r="P227" s="30"/>
      <c r="Q227" s="30"/>
      <c r="R227" s="30"/>
    </row>
    <row r="228" spans="2:18" x14ac:dyDescent="0.3">
      <c r="B228" s="30"/>
      <c r="C228" s="30"/>
      <c r="D228" s="30"/>
      <c r="E228" s="30"/>
      <c r="F228" s="30"/>
      <c r="G228" s="30"/>
      <c r="H228" s="30"/>
      <c r="I228" s="30"/>
      <c r="J228" s="30"/>
      <c r="K228" s="30"/>
      <c r="L228" s="30"/>
      <c r="M228" s="30"/>
      <c r="N228" s="30"/>
      <c r="O228" s="30"/>
      <c r="P228" s="30"/>
      <c r="Q228" s="30"/>
      <c r="R228" s="30"/>
    </row>
    <row r="229" spans="2:18" x14ac:dyDescent="0.3">
      <c r="B229" s="30"/>
      <c r="C229" s="30"/>
      <c r="D229" s="30"/>
      <c r="E229" s="30"/>
      <c r="F229" s="30"/>
      <c r="G229" s="30"/>
      <c r="H229" s="30"/>
      <c r="I229" s="30"/>
      <c r="J229" s="30"/>
      <c r="K229" s="30"/>
      <c r="L229" s="30"/>
      <c r="M229" s="30"/>
      <c r="N229" s="30"/>
      <c r="O229" s="30"/>
      <c r="P229" s="30"/>
      <c r="Q229" s="30"/>
      <c r="R229" s="30"/>
    </row>
    <row r="230" spans="2:18" x14ac:dyDescent="0.3">
      <c r="B230" s="30"/>
      <c r="C230" s="30"/>
      <c r="D230" s="30"/>
      <c r="E230" s="30"/>
      <c r="F230" s="30"/>
      <c r="G230" s="30"/>
      <c r="H230" s="30"/>
      <c r="I230" s="30"/>
      <c r="J230" s="30"/>
      <c r="K230" s="30"/>
      <c r="L230" s="30"/>
      <c r="M230" s="30"/>
      <c r="N230" s="30"/>
      <c r="O230" s="30"/>
      <c r="P230" s="30"/>
      <c r="Q230" s="30"/>
      <c r="R230" s="30"/>
    </row>
    <row r="231" spans="2:18" x14ac:dyDescent="0.3">
      <c r="B231" s="30"/>
      <c r="C231" s="30"/>
      <c r="D231" s="30"/>
      <c r="E231" s="30"/>
      <c r="F231" s="30"/>
      <c r="G231" s="30"/>
      <c r="H231" s="30"/>
      <c r="I231" s="30"/>
      <c r="J231" s="30"/>
      <c r="K231" s="30"/>
      <c r="L231" s="30"/>
      <c r="M231" s="30"/>
      <c r="N231" s="30"/>
      <c r="O231" s="30"/>
      <c r="P231" s="30"/>
      <c r="Q231" s="30"/>
      <c r="R231" s="30"/>
    </row>
    <row r="232" spans="2:18" x14ac:dyDescent="0.3">
      <c r="B232" s="30"/>
      <c r="C232" s="30"/>
      <c r="D232" s="30"/>
      <c r="E232" s="30"/>
      <c r="F232" s="30"/>
      <c r="G232" s="30"/>
      <c r="H232" s="30"/>
      <c r="I232" s="30"/>
      <c r="J232" s="30"/>
      <c r="K232" s="30"/>
      <c r="L232" s="30"/>
      <c r="M232" s="30"/>
      <c r="N232" s="30"/>
      <c r="O232" s="30"/>
      <c r="P232" s="30"/>
      <c r="Q232" s="30"/>
      <c r="R232" s="30"/>
    </row>
    <row r="233" spans="2:18" x14ac:dyDescent="0.3">
      <c r="B233" s="30"/>
      <c r="C233" s="30"/>
      <c r="D233" s="30"/>
      <c r="E233" s="30"/>
      <c r="F233" s="30"/>
      <c r="G233" s="30"/>
      <c r="H233" s="30"/>
      <c r="I233" s="30"/>
      <c r="J233" s="30"/>
      <c r="K233" s="30"/>
      <c r="L233" s="30"/>
      <c r="M233" s="30"/>
      <c r="N233" s="30"/>
      <c r="O233" s="30"/>
      <c r="P233" s="30"/>
      <c r="Q233" s="30"/>
      <c r="R233" s="30"/>
    </row>
    <row r="234" spans="2:18" x14ac:dyDescent="0.3">
      <c r="B234" s="30"/>
      <c r="C234" s="30"/>
      <c r="D234" s="30"/>
      <c r="E234" s="30"/>
      <c r="F234" s="30"/>
      <c r="G234" s="30"/>
      <c r="H234" s="30"/>
      <c r="I234" s="30"/>
      <c r="J234" s="30"/>
      <c r="K234" s="30"/>
      <c r="L234" s="30"/>
      <c r="M234" s="30"/>
      <c r="N234" s="30"/>
      <c r="O234" s="30"/>
      <c r="P234" s="30"/>
      <c r="Q234" s="30"/>
      <c r="R234" s="30"/>
    </row>
    <row r="235" spans="2:18" x14ac:dyDescent="0.3">
      <c r="B235" s="30"/>
      <c r="C235" s="30"/>
      <c r="D235" s="30"/>
      <c r="E235" s="30"/>
      <c r="F235" s="30"/>
      <c r="G235" s="30"/>
      <c r="H235" s="30"/>
      <c r="I235" s="30"/>
      <c r="J235" s="30"/>
      <c r="K235" s="30"/>
      <c r="L235" s="30"/>
      <c r="M235" s="30"/>
      <c r="N235" s="30"/>
      <c r="O235" s="30"/>
      <c r="P235" s="30"/>
      <c r="Q235" s="30"/>
      <c r="R235" s="30"/>
    </row>
    <row r="236" spans="2:18" x14ac:dyDescent="0.3">
      <c r="B236" s="30"/>
      <c r="C236" s="30"/>
      <c r="D236" s="30"/>
      <c r="E236" s="30"/>
      <c r="F236" s="30"/>
      <c r="G236" s="30"/>
      <c r="H236" s="30"/>
      <c r="I236" s="30"/>
      <c r="J236" s="30"/>
      <c r="K236" s="30"/>
      <c r="L236" s="30"/>
      <c r="M236" s="30"/>
      <c r="N236" s="30"/>
      <c r="O236" s="30"/>
      <c r="P236" s="30"/>
      <c r="Q236" s="30"/>
      <c r="R236" s="30"/>
    </row>
    <row r="237" spans="2:18" x14ac:dyDescent="0.3">
      <c r="B237" s="30"/>
      <c r="C237" s="30"/>
      <c r="D237" s="30"/>
      <c r="E237" s="30"/>
      <c r="F237" s="30"/>
      <c r="G237" s="30"/>
      <c r="H237" s="30"/>
      <c r="I237" s="30"/>
      <c r="J237" s="30"/>
      <c r="K237" s="30"/>
      <c r="L237" s="30"/>
      <c r="M237" s="30"/>
      <c r="N237" s="30"/>
      <c r="O237" s="30"/>
      <c r="P237" s="30"/>
      <c r="Q237" s="30"/>
      <c r="R237" s="30"/>
    </row>
    <row r="238" spans="2:18" x14ac:dyDescent="0.3">
      <c r="B238" s="30"/>
      <c r="C238" s="30"/>
      <c r="D238" s="30"/>
      <c r="E238" s="30"/>
      <c r="F238" s="30"/>
      <c r="G238" s="30"/>
      <c r="H238" s="30"/>
      <c r="I238" s="30"/>
      <c r="J238" s="30"/>
      <c r="K238" s="30"/>
      <c r="L238" s="30"/>
      <c r="M238" s="30"/>
      <c r="N238" s="30"/>
      <c r="O238" s="30"/>
      <c r="P238" s="30"/>
      <c r="Q238" s="30"/>
      <c r="R238" s="30"/>
    </row>
    <row r="239" spans="2:18" x14ac:dyDescent="0.3">
      <c r="B239" s="30"/>
      <c r="C239" s="30"/>
      <c r="D239" s="30"/>
      <c r="E239" s="30"/>
      <c r="F239" s="30"/>
      <c r="G239" s="30"/>
      <c r="H239" s="30"/>
      <c r="I239" s="30"/>
      <c r="J239" s="30"/>
      <c r="K239" s="30"/>
      <c r="L239" s="30"/>
      <c r="M239" s="30"/>
      <c r="N239" s="30"/>
      <c r="O239" s="30"/>
      <c r="P239" s="30"/>
      <c r="Q239" s="30"/>
      <c r="R239" s="30"/>
    </row>
    <row r="240" spans="2:18" x14ac:dyDescent="0.3">
      <c r="B240" s="30"/>
      <c r="C240" s="30"/>
      <c r="D240" s="30"/>
      <c r="E240" s="30"/>
      <c r="F240" s="30"/>
      <c r="G240" s="30"/>
      <c r="H240" s="30"/>
      <c r="I240" s="30"/>
      <c r="J240" s="30"/>
      <c r="K240" s="30"/>
      <c r="L240" s="30"/>
      <c r="M240" s="30"/>
      <c r="N240" s="30"/>
      <c r="O240" s="30"/>
      <c r="P240" s="30"/>
      <c r="Q240" s="30"/>
      <c r="R240" s="30"/>
    </row>
    <row r="241" spans="2:18" x14ac:dyDescent="0.3">
      <c r="B241" s="30"/>
      <c r="C241" s="30"/>
      <c r="D241" s="30"/>
      <c r="E241" s="30"/>
      <c r="F241" s="30"/>
      <c r="G241" s="30"/>
      <c r="H241" s="30"/>
      <c r="I241" s="30"/>
      <c r="J241" s="30"/>
      <c r="K241" s="30"/>
      <c r="L241" s="30"/>
      <c r="M241" s="30"/>
      <c r="N241" s="30"/>
      <c r="O241" s="30"/>
      <c r="P241" s="30"/>
      <c r="Q241" s="30"/>
      <c r="R241" s="30"/>
    </row>
    <row r="242" spans="2:18" x14ac:dyDescent="0.3">
      <c r="B242" s="30"/>
      <c r="C242" s="30"/>
      <c r="D242" s="30"/>
      <c r="E242" s="30"/>
      <c r="F242" s="30"/>
      <c r="G242" s="30"/>
      <c r="H242" s="30"/>
      <c r="I242" s="30"/>
      <c r="J242" s="30"/>
      <c r="K242" s="30"/>
      <c r="L242" s="30"/>
      <c r="M242" s="30"/>
      <c r="N242" s="30"/>
      <c r="O242" s="30"/>
      <c r="P242" s="30"/>
      <c r="Q242" s="30"/>
      <c r="R242" s="30"/>
    </row>
    <row r="243" spans="2:18" x14ac:dyDescent="0.3">
      <c r="B243" s="30"/>
      <c r="C243" s="30"/>
      <c r="D243" s="30"/>
      <c r="E243" s="30"/>
      <c r="F243" s="30"/>
      <c r="G243" s="30"/>
      <c r="H243" s="30"/>
      <c r="I243" s="30"/>
      <c r="J243" s="30"/>
      <c r="K243" s="30"/>
      <c r="L243" s="30"/>
      <c r="M243" s="30"/>
      <c r="N243" s="30"/>
      <c r="O243" s="30"/>
      <c r="P243" s="30"/>
      <c r="Q243" s="30"/>
      <c r="R243" s="30"/>
    </row>
    <row r="244" spans="2:18" x14ac:dyDescent="0.3">
      <c r="B244" s="30"/>
      <c r="C244" s="30"/>
      <c r="D244" s="30"/>
      <c r="E244" s="30"/>
      <c r="F244" s="30"/>
      <c r="G244" s="30"/>
      <c r="H244" s="30"/>
      <c r="I244" s="30"/>
      <c r="J244" s="30"/>
      <c r="K244" s="30"/>
      <c r="L244" s="30"/>
      <c r="M244" s="30"/>
      <c r="N244" s="30"/>
      <c r="O244" s="30"/>
      <c r="P244" s="30"/>
      <c r="Q244" s="30"/>
      <c r="R244" s="30"/>
    </row>
    <row r="245" spans="2:18" x14ac:dyDescent="0.3">
      <c r="B245" s="30"/>
      <c r="C245" s="30"/>
      <c r="D245" s="30"/>
      <c r="E245" s="30"/>
      <c r="F245" s="30"/>
      <c r="G245" s="30"/>
      <c r="H245" s="30"/>
      <c r="I245" s="30"/>
      <c r="J245" s="30"/>
      <c r="K245" s="30"/>
      <c r="L245" s="30"/>
      <c r="M245" s="30"/>
      <c r="N245" s="30"/>
      <c r="O245" s="30"/>
      <c r="P245" s="30"/>
      <c r="Q245" s="30"/>
      <c r="R245" s="30"/>
    </row>
    <row r="246" spans="2:18" x14ac:dyDescent="0.3">
      <c r="B246" s="30"/>
      <c r="C246" s="30"/>
      <c r="D246" s="30"/>
      <c r="E246" s="30"/>
      <c r="F246" s="30"/>
      <c r="G246" s="30"/>
      <c r="H246" s="30"/>
      <c r="I246" s="30"/>
      <c r="J246" s="30"/>
      <c r="K246" s="30"/>
      <c r="L246" s="30"/>
      <c r="M246" s="30"/>
      <c r="N246" s="30"/>
      <c r="O246" s="30"/>
      <c r="P246" s="30"/>
      <c r="Q246" s="30"/>
      <c r="R246" s="30"/>
    </row>
    <row r="247" spans="2:18" x14ac:dyDescent="0.3">
      <c r="B247" s="30"/>
      <c r="C247" s="30"/>
      <c r="D247" s="30"/>
      <c r="E247" s="30"/>
      <c r="F247" s="30"/>
      <c r="G247" s="30"/>
      <c r="H247" s="30"/>
      <c r="I247" s="30"/>
      <c r="J247" s="30"/>
      <c r="K247" s="30"/>
      <c r="L247" s="30"/>
      <c r="M247" s="30"/>
      <c r="N247" s="30"/>
      <c r="O247" s="30"/>
      <c r="P247" s="30"/>
      <c r="Q247" s="30"/>
      <c r="R247"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32">
    <tabColor indexed="48"/>
    <outlinePr applyStyles="1" summaryBelow="0"/>
    <pageSetUpPr fitToPage="1"/>
  </sheetPr>
  <dimension ref="A2:T248"/>
  <sheetViews>
    <sheetView workbookViewId="0">
      <selection activeCell="C14" sqref="C14"/>
    </sheetView>
  </sheetViews>
  <sheetFormatPr defaultColWidth="9.109375" defaultRowHeight="13.8" outlineLevelRow="2" x14ac:dyDescent="0.3"/>
  <cols>
    <col min="1" max="1" width="75.5546875" style="26" bestFit="1" customWidth="1"/>
    <col min="2" max="3" width="18" style="26" customWidth="1"/>
    <col min="4" max="4" width="19.88671875" style="26" customWidth="1"/>
    <col min="5" max="5" width="11.44140625" style="26" bestFit="1" customWidth="1"/>
    <col min="6" max="6" width="9.109375" style="26" customWidth="1"/>
    <col min="7" max="16384" width="9.109375" style="26"/>
  </cols>
  <sheetData>
    <row r="2" spans="1:20" ht="39" customHeight="1" x14ac:dyDescent="0.35">
      <c r="A2" s="4" t="str">
        <f>DEBT_AS_OF_DATE</f>
        <v>Державний та гарантований державою борг України
станом на 31.08.2026</v>
      </c>
      <c r="B2" s="3"/>
      <c r="C2" s="3"/>
      <c r="D2" s="3"/>
      <c r="E2" s="3"/>
      <c r="F2" s="30"/>
      <c r="G2" s="30"/>
      <c r="H2" s="30"/>
      <c r="I2" s="30"/>
      <c r="J2" s="30"/>
      <c r="K2" s="30"/>
      <c r="L2" s="30"/>
      <c r="M2" s="30"/>
      <c r="N2" s="30"/>
      <c r="O2" s="30"/>
      <c r="P2" s="30"/>
      <c r="Q2" s="30"/>
      <c r="R2" s="30"/>
      <c r="S2" s="30"/>
      <c r="T2" s="30"/>
    </row>
    <row r="3" spans="1:20" ht="18" x14ac:dyDescent="0.35">
      <c r="A3" s="1" t="str">
        <f>BY_INTEREST_RATE</f>
        <v>(за видами відсоткових ставок)</v>
      </c>
      <c r="B3" s="1"/>
      <c r="C3" s="1"/>
      <c r="D3" s="1"/>
      <c r="E3" s="1"/>
    </row>
    <row r="4" spans="1:20" x14ac:dyDescent="0.3">
      <c r="B4" s="30"/>
      <c r="C4" s="30"/>
      <c r="D4" s="30"/>
      <c r="E4" s="30"/>
      <c r="F4" s="30"/>
      <c r="G4" s="30"/>
      <c r="H4" s="30"/>
      <c r="I4" s="30"/>
      <c r="J4" s="30"/>
      <c r="K4" s="30"/>
      <c r="L4" s="30"/>
      <c r="M4" s="30"/>
      <c r="N4" s="30"/>
      <c r="O4" s="30"/>
      <c r="P4" s="30"/>
      <c r="Q4" s="30"/>
      <c r="R4" s="30"/>
    </row>
    <row r="5" spans="1:20" s="31" customFormat="1" x14ac:dyDescent="0.3">
      <c r="E5" s="31" t="str">
        <f>VALVAL</f>
        <v>млрд. одиниць</v>
      </c>
    </row>
    <row r="6" spans="1:20" s="18" customFormat="1" x14ac:dyDescent="0.25">
      <c r="A6" s="64"/>
      <c r="B6" s="156" t="str">
        <f>USD</f>
        <v>дол. США</v>
      </c>
      <c r="C6" s="156" t="str">
        <f>EUR</f>
        <v>євро</v>
      </c>
      <c r="D6" s="156" t="str">
        <f>UAH</f>
        <v>грн.</v>
      </c>
      <c r="E6" s="61" t="s">
        <v>0</v>
      </c>
    </row>
    <row r="7" spans="1:20" s="143" customFormat="1" ht="15.6" x14ac:dyDescent="0.25">
      <c r="A7" s="155" t="str">
        <f>DEBT_TOTAL</f>
        <v>Загальна сума державного та гарантованого державою боргу</v>
      </c>
      <c r="B7" s="132">
        <f>SUM(B$8+ B$9)</f>
        <v>215.55073598985001</v>
      </c>
      <c r="C7" s="132">
        <f>SUM(C$8+ C$9)</f>
        <v>185.09674296469998</v>
      </c>
      <c r="D7" s="132">
        <f>SUM(D$8+ D$9)</f>
        <v>9602.8930637009707</v>
      </c>
      <c r="E7" s="133">
        <f>SUM(E$8+ E$9)</f>
        <v>1</v>
      </c>
    </row>
    <row r="8" spans="1:20" s="42" customFormat="1" ht="14.4" x14ac:dyDescent="0.25">
      <c r="A8" s="68" t="str">
        <f>SRATE_M!A7</f>
        <v>Борг, по якому сплата відсотків здійснюється за плаваючими процентними ставками</v>
      </c>
      <c r="B8" s="69">
        <f>SRATE_M!B7</f>
        <v>61.752006470600001</v>
      </c>
      <c r="C8" s="69">
        <f>SRATE_M!C7</f>
        <v>53.027400796199998</v>
      </c>
      <c r="D8" s="69">
        <f>SRATE_M!D7</f>
        <v>2751.0827642719901</v>
      </c>
      <c r="E8" s="70">
        <f>SRATE_M!E7</f>
        <v>0.28648499999999999</v>
      </c>
    </row>
    <row r="9" spans="1:20" s="42" customFormat="1" ht="14.4" x14ac:dyDescent="0.25">
      <c r="A9" s="68" t="str">
        <f>SRATE_M!A8</f>
        <v>Борг, по якому сплата відсотків здійснюється за фіксованими процентними ставками</v>
      </c>
      <c r="B9" s="69">
        <f>SRATE_M!B8</f>
        <v>153.79872951925</v>
      </c>
      <c r="C9" s="69">
        <f>SRATE_M!C8</f>
        <v>132.06934216849999</v>
      </c>
      <c r="D9" s="69">
        <f>SRATE_M!D8</f>
        <v>6851.8102994289802</v>
      </c>
      <c r="E9" s="70">
        <f>SRATE_M!E8</f>
        <v>0.71351500000000001</v>
      </c>
    </row>
    <row r="10" spans="1:20" x14ac:dyDescent="0.3">
      <c r="B10" s="30"/>
      <c r="C10" s="30"/>
      <c r="D10" s="30"/>
      <c r="E10" s="30"/>
      <c r="F10" s="30"/>
      <c r="G10" s="30"/>
      <c r="H10" s="30"/>
      <c r="I10" s="30"/>
      <c r="J10" s="30"/>
      <c r="K10" s="30"/>
      <c r="L10" s="30"/>
      <c r="M10" s="30"/>
      <c r="N10" s="30"/>
      <c r="O10" s="30"/>
      <c r="P10" s="30"/>
      <c r="Q10" s="30"/>
      <c r="R10" s="30"/>
    </row>
    <row r="11" spans="1:20" x14ac:dyDescent="0.3">
      <c r="A11" s="44" t="str">
        <f>INCLUDING</f>
        <v>В тому числі:</v>
      </c>
      <c r="B11" s="30"/>
      <c r="C11" s="30"/>
      <c r="D11" s="30"/>
      <c r="E11" s="30"/>
      <c r="F11" s="30"/>
      <c r="G11" s="30"/>
      <c r="H11" s="30"/>
      <c r="I11" s="30"/>
      <c r="J11" s="30"/>
      <c r="K11" s="30"/>
      <c r="L11" s="30"/>
      <c r="M11" s="30"/>
      <c r="N11" s="30"/>
      <c r="O11" s="30"/>
      <c r="P11" s="30"/>
      <c r="Q11" s="30"/>
      <c r="R11" s="30"/>
    </row>
    <row r="12" spans="1:20" x14ac:dyDescent="0.3">
      <c r="B12" s="30"/>
      <c r="C12" s="30"/>
      <c r="D12" s="30"/>
      <c r="E12" s="31" t="str">
        <f>VALVAL</f>
        <v>млрд. одиниць</v>
      </c>
      <c r="F12" s="30"/>
      <c r="G12" s="30"/>
      <c r="H12" s="30"/>
      <c r="I12" s="30"/>
      <c r="J12" s="30"/>
      <c r="K12" s="30"/>
      <c r="L12" s="30"/>
      <c r="M12" s="30"/>
      <c r="N12" s="30"/>
      <c r="O12" s="30"/>
      <c r="P12" s="30"/>
      <c r="Q12" s="30"/>
      <c r="R12" s="30"/>
    </row>
    <row r="13" spans="1:20" s="38" customFormat="1" x14ac:dyDescent="0.3">
      <c r="A13" s="16"/>
      <c r="B13" s="156" t="str">
        <f>USD</f>
        <v>дол. США</v>
      </c>
      <c r="C13" s="156" t="str">
        <f>EUR</f>
        <v>євро</v>
      </c>
      <c r="D13" s="156" t="str">
        <f>UAH</f>
        <v>грн.</v>
      </c>
      <c r="E13" s="61" t="s">
        <v>0</v>
      </c>
      <c r="F13" s="18"/>
      <c r="G13" s="18"/>
      <c r="H13" s="18"/>
      <c r="I13" s="18"/>
      <c r="J13" s="18"/>
      <c r="K13" s="18"/>
      <c r="L13" s="18"/>
      <c r="M13" s="18"/>
      <c r="N13" s="18"/>
      <c r="O13" s="18"/>
      <c r="P13" s="18"/>
      <c r="Q13" s="18"/>
      <c r="R13" s="18"/>
      <c r="S13" s="18"/>
      <c r="T13" s="18"/>
    </row>
    <row r="14" spans="1:20" s="147" customFormat="1" ht="14.4" x14ac:dyDescent="0.3">
      <c r="A14" s="164" t="str">
        <f>DEBT_TOTAL</f>
        <v>Загальна сума державного та гарантованого державою боргу</v>
      </c>
      <c r="B14" s="144">
        <f>B$15+B$18</f>
        <v>215.55073598985001</v>
      </c>
      <c r="C14" s="144">
        <f>C$15+C$18</f>
        <v>185.09674296470001</v>
      </c>
      <c r="D14" s="144">
        <f>D$15+D$18</f>
        <v>9602.8930637009689</v>
      </c>
      <c r="E14" s="145">
        <f>E$15+E$18</f>
        <v>0.99999899999999997</v>
      </c>
      <c r="F14" s="146"/>
      <c r="G14" s="146"/>
      <c r="H14" s="146"/>
      <c r="I14" s="146"/>
      <c r="J14" s="146"/>
      <c r="K14" s="146"/>
      <c r="L14" s="146"/>
      <c r="M14" s="146"/>
      <c r="N14" s="146"/>
      <c r="O14" s="146"/>
      <c r="P14" s="146"/>
      <c r="Q14" s="146"/>
      <c r="R14" s="146"/>
    </row>
    <row r="15" spans="1:20" s="66" customFormat="1" ht="14.4" outlineLevel="1" x14ac:dyDescent="0.3">
      <c r="A15" s="249" t="s">
        <v>1</v>
      </c>
      <c r="B15" s="250">
        <f>SUM(B$16:B$17)</f>
        <v>209.76376640347002</v>
      </c>
      <c r="C15" s="250">
        <f>SUM(C$16:C$17)</f>
        <v>180.1273828873</v>
      </c>
      <c r="D15" s="250">
        <f>SUM(D$16:D$17)</f>
        <v>9345.080675142719</v>
      </c>
      <c r="E15" s="251">
        <f>SUM(E$16:E$17)</f>
        <v>0.97315200000000002</v>
      </c>
      <c r="F15" s="65"/>
      <c r="G15" s="65"/>
      <c r="H15" s="65"/>
      <c r="I15" s="65"/>
      <c r="J15" s="65"/>
      <c r="K15" s="65"/>
      <c r="L15" s="65"/>
      <c r="M15" s="65"/>
      <c r="N15" s="65"/>
      <c r="O15" s="65"/>
      <c r="P15" s="65"/>
      <c r="Q15" s="65"/>
      <c r="R15" s="65"/>
    </row>
    <row r="16" spans="1:20" s="44" customFormat="1" outlineLevel="2" x14ac:dyDescent="0.3">
      <c r="A16" s="252" t="s">
        <v>131</v>
      </c>
      <c r="B16" s="175">
        <v>58.261090833140003</v>
      </c>
      <c r="C16" s="175">
        <v>50.029697673080001</v>
      </c>
      <c r="D16" s="175">
        <v>2595.56072716377</v>
      </c>
      <c r="E16" s="178">
        <v>0.270289</v>
      </c>
      <c r="F16" s="43"/>
      <c r="G16" s="43"/>
      <c r="H16" s="43"/>
      <c r="I16" s="43"/>
      <c r="J16" s="43"/>
      <c r="K16" s="43"/>
      <c r="L16" s="43"/>
      <c r="M16" s="43"/>
      <c r="N16" s="43"/>
      <c r="O16" s="43"/>
      <c r="P16" s="43"/>
      <c r="Q16" s="43"/>
      <c r="R16" s="43"/>
    </row>
    <row r="17" spans="1:18" s="44" customFormat="1" outlineLevel="2" x14ac:dyDescent="0.3">
      <c r="A17" s="252" t="s">
        <v>132</v>
      </c>
      <c r="B17" s="175">
        <v>151.50267557033001</v>
      </c>
      <c r="C17" s="175">
        <v>130.09768521422001</v>
      </c>
      <c r="D17" s="175">
        <v>6749.5199479789499</v>
      </c>
      <c r="E17" s="178">
        <v>0.70286300000000002</v>
      </c>
      <c r="F17" s="43"/>
      <c r="G17" s="43"/>
      <c r="H17" s="43"/>
      <c r="I17" s="43"/>
      <c r="J17" s="43"/>
      <c r="K17" s="43"/>
      <c r="L17" s="43"/>
      <c r="M17" s="43"/>
      <c r="N17" s="43"/>
      <c r="O17" s="43"/>
      <c r="P17" s="43"/>
      <c r="Q17" s="43"/>
      <c r="R17" s="43"/>
    </row>
    <row r="18" spans="1:18" s="66" customFormat="1" ht="14.4" outlineLevel="1" x14ac:dyDescent="0.3">
      <c r="A18" s="249" t="s">
        <v>2</v>
      </c>
      <c r="B18" s="250">
        <f>SUM(B$19:B$20)</f>
        <v>5.7869695863799997</v>
      </c>
      <c r="C18" s="250">
        <f>SUM(C$19:C$20)</f>
        <v>4.9693600774000002</v>
      </c>
      <c r="D18" s="250">
        <f>SUM(D$19:D$20)</f>
        <v>257.81238855825001</v>
      </c>
      <c r="E18" s="251">
        <f>SUM(E$19:E$20)</f>
        <v>2.6847000000000003E-2</v>
      </c>
      <c r="F18" s="65"/>
      <c r="G18" s="65"/>
      <c r="H18" s="65"/>
      <c r="I18" s="65"/>
      <c r="J18" s="65"/>
      <c r="K18" s="65"/>
      <c r="L18" s="65"/>
      <c r="M18" s="65"/>
      <c r="N18" s="65"/>
      <c r="O18" s="65"/>
      <c r="P18" s="65"/>
      <c r="Q18" s="65"/>
      <c r="R18" s="65"/>
    </row>
    <row r="19" spans="1:18" s="44" customFormat="1" outlineLevel="2" x14ac:dyDescent="0.3">
      <c r="A19" s="252" t="s">
        <v>131</v>
      </c>
      <c r="B19" s="175">
        <v>3.4909156374600001</v>
      </c>
      <c r="C19" s="175">
        <v>2.99770312312</v>
      </c>
      <c r="D19" s="175">
        <v>155.52203710821999</v>
      </c>
      <c r="E19" s="178">
        <v>1.6195000000000001E-2</v>
      </c>
      <c r="F19" s="43"/>
      <c r="G19" s="43"/>
      <c r="H19" s="43"/>
      <c r="I19" s="43"/>
      <c r="J19" s="43"/>
      <c r="K19" s="43"/>
      <c r="L19" s="43"/>
      <c r="M19" s="43"/>
      <c r="N19" s="43"/>
      <c r="O19" s="43"/>
      <c r="P19" s="43"/>
      <c r="Q19" s="43"/>
      <c r="R19" s="43"/>
    </row>
    <row r="20" spans="1:18" s="44" customFormat="1" outlineLevel="2" x14ac:dyDescent="0.3">
      <c r="A20" s="252" t="s">
        <v>132</v>
      </c>
      <c r="B20" s="175">
        <v>2.29605394892</v>
      </c>
      <c r="C20" s="175">
        <v>1.97165695428</v>
      </c>
      <c r="D20" s="175">
        <v>102.29035145003</v>
      </c>
      <c r="E20" s="178">
        <v>1.0652E-2</v>
      </c>
      <c r="F20" s="43"/>
      <c r="G20" s="43"/>
      <c r="H20" s="43"/>
      <c r="I20" s="43"/>
      <c r="J20" s="43"/>
      <c r="K20" s="43"/>
      <c r="L20" s="43"/>
      <c r="M20" s="43"/>
      <c r="N20" s="43"/>
      <c r="O20" s="43"/>
      <c r="P20" s="43"/>
      <c r="Q20" s="43"/>
      <c r="R20" s="43"/>
    </row>
    <row r="21" spans="1:18" x14ac:dyDescent="0.3">
      <c r="B21" s="29"/>
      <c r="C21" s="29"/>
      <c r="D21" s="29"/>
      <c r="E21" s="67"/>
      <c r="F21" s="30"/>
      <c r="G21" s="30"/>
      <c r="H21" s="30"/>
      <c r="I21" s="30"/>
      <c r="J21" s="30"/>
      <c r="K21" s="30"/>
      <c r="L21" s="30"/>
      <c r="M21" s="30"/>
      <c r="N21" s="30"/>
      <c r="O21" s="30"/>
      <c r="P21" s="30"/>
      <c r="Q21" s="30"/>
      <c r="R21" s="30"/>
    </row>
    <row r="22" spans="1:18" x14ac:dyDescent="0.3">
      <c r="B22" s="29"/>
      <c r="C22" s="29"/>
      <c r="D22" s="29"/>
      <c r="E22" s="67"/>
      <c r="F22" s="30"/>
      <c r="G22" s="30"/>
      <c r="H22" s="30"/>
      <c r="I22" s="30"/>
      <c r="J22" s="30"/>
      <c r="K22" s="30"/>
      <c r="L22" s="30"/>
      <c r="M22" s="30"/>
      <c r="N22" s="30"/>
      <c r="O22" s="30"/>
      <c r="P22" s="30"/>
      <c r="Q22" s="30"/>
      <c r="R22" s="30"/>
    </row>
    <row r="23" spans="1:18" x14ac:dyDescent="0.3">
      <c r="B23" s="29"/>
      <c r="C23" s="29"/>
      <c r="D23" s="29"/>
      <c r="E23" s="67"/>
      <c r="F23" s="30"/>
      <c r="G23" s="30"/>
      <c r="H23" s="30"/>
      <c r="I23" s="30"/>
      <c r="J23" s="30"/>
      <c r="K23" s="30"/>
      <c r="L23" s="30"/>
      <c r="M23" s="30"/>
      <c r="N23" s="30"/>
      <c r="O23" s="30"/>
      <c r="P23" s="30"/>
      <c r="Q23" s="30"/>
      <c r="R23" s="30"/>
    </row>
    <row r="24" spans="1:18" x14ac:dyDescent="0.3">
      <c r="B24" s="29"/>
      <c r="C24" s="29"/>
      <c r="D24" s="29"/>
      <c r="E24" s="67"/>
      <c r="F24" s="30"/>
      <c r="G24" s="30"/>
      <c r="H24" s="30"/>
      <c r="I24" s="30"/>
      <c r="J24" s="30"/>
      <c r="K24" s="30"/>
      <c r="L24" s="30"/>
      <c r="M24" s="30"/>
      <c r="N24" s="30"/>
      <c r="O24" s="30"/>
      <c r="P24" s="30"/>
      <c r="Q24" s="30"/>
      <c r="R24" s="30"/>
    </row>
    <row r="25" spans="1:18" x14ac:dyDescent="0.3">
      <c r="B25" s="29"/>
      <c r="C25" s="29"/>
      <c r="D25" s="29"/>
      <c r="E25" s="67"/>
      <c r="F25" s="30"/>
      <c r="G25" s="30"/>
      <c r="H25" s="30"/>
      <c r="I25" s="30"/>
      <c r="J25" s="30"/>
      <c r="K25" s="30"/>
      <c r="L25" s="30"/>
      <c r="M25" s="30"/>
      <c r="N25" s="30"/>
      <c r="O25" s="30"/>
      <c r="P25" s="30"/>
      <c r="Q25" s="30"/>
      <c r="R25" s="30"/>
    </row>
    <row r="26" spans="1:18" x14ac:dyDescent="0.3">
      <c r="B26" s="29"/>
      <c r="C26" s="29"/>
      <c r="D26" s="29"/>
      <c r="E26" s="67"/>
      <c r="F26" s="30"/>
      <c r="G26" s="30"/>
      <c r="H26" s="30"/>
      <c r="I26" s="30"/>
      <c r="J26" s="30"/>
      <c r="K26" s="30"/>
      <c r="L26" s="30"/>
      <c r="M26" s="30"/>
      <c r="N26" s="30"/>
      <c r="O26" s="30"/>
      <c r="P26" s="30"/>
      <c r="Q26" s="30"/>
      <c r="R26" s="30"/>
    </row>
    <row r="27" spans="1:18" x14ac:dyDescent="0.3">
      <c r="B27" s="29"/>
      <c r="C27" s="29"/>
      <c r="D27" s="29"/>
      <c r="E27" s="67"/>
      <c r="F27" s="30"/>
      <c r="G27" s="30"/>
      <c r="H27" s="30"/>
      <c r="I27" s="30"/>
      <c r="J27" s="30"/>
      <c r="K27" s="30"/>
      <c r="L27" s="30"/>
      <c r="M27" s="30"/>
      <c r="N27" s="30"/>
      <c r="O27" s="30"/>
      <c r="P27" s="30"/>
      <c r="Q27" s="30"/>
      <c r="R27" s="30"/>
    </row>
    <row r="28" spans="1:18" x14ac:dyDescent="0.3">
      <c r="B28" s="29"/>
      <c r="C28" s="29"/>
      <c r="D28" s="29"/>
      <c r="E28" s="67"/>
      <c r="F28" s="30"/>
      <c r="G28" s="30"/>
      <c r="H28" s="30"/>
      <c r="I28" s="30"/>
      <c r="J28" s="30"/>
      <c r="K28" s="30"/>
      <c r="L28" s="30"/>
      <c r="M28" s="30"/>
      <c r="N28" s="30"/>
      <c r="O28" s="30"/>
      <c r="P28" s="30"/>
      <c r="Q28" s="30"/>
      <c r="R28" s="30"/>
    </row>
    <row r="29" spans="1:18" x14ac:dyDescent="0.3">
      <c r="B29" s="29"/>
      <c r="C29" s="29"/>
      <c r="D29" s="29"/>
      <c r="E29" s="67"/>
      <c r="F29" s="30"/>
      <c r="G29" s="30"/>
      <c r="H29" s="30"/>
      <c r="I29" s="30"/>
      <c r="J29" s="30"/>
      <c r="K29" s="30"/>
      <c r="L29" s="30"/>
      <c r="M29" s="30"/>
      <c r="N29" s="30"/>
      <c r="O29" s="30"/>
      <c r="P29" s="30"/>
      <c r="Q29" s="30"/>
      <c r="R29" s="30"/>
    </row>
    <row r="30" spans="1:18" x14ac:dyDescent="0.3">
      <c r="B30" s="29"/>
      <c r="C30" s="29"/>
      <c r="D30" s="29"/>
      <c r="E30" s="67"/>
      <c r="F30" s="30"/>
      <c r="G30" s="30"/>
      <c r="H30" s="30"/>
      <c r="I30" s="30"/>
      <c r="J30" s="30"/>
      <c r="K30" s="30"/>
      <c r="L30" s="30"/>
      <c r="M30" s="30"/>
      <c r="N30" s="30"/>
      <c r="O30" s="30"/>
      <c r="P30" s="30"/>
      <c r="Q30" s="30"/>
      <c r="R30" s="30"/>
    </row>
    <row r="31" spans="1:18" x14ac:dyDescent="0.3">
      <c r="B31" s="29"/>
      <c r="C31" s="29"/>
      <c r="D31" s="29"/>
      <c r="E31" s="67"/>
      <c r="F31" s="30"/>
      <c r="G31" s="30"/>
      <c r="H31" s="30"/>
      <c r="I31" s="30"/>
      <c r="J31" s="30"/>
      <c r="K31" s="30"/>
      <c r="L31" s="30"/>
      <c r="M31" s="30"/>
      <c r="N31" s="30"/>
      <c r="O31" s="30"/>
      <c r="P31" s="30"/>
      <c r="Q31" s="30"/>
      <c r="R31" s="30"/>
    </row>
    <row r="32" spans="1: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30"/>
      <c r="F39" s="30"/>
      <c r="G39" s="30"/>
      <c r="H39" s="30"/>
      <c r="I39" s="30"/>
      <c r="J39" s="30"/>
      <c r="K39" s="30"/>
      <c r="L39" s="30"/>
      <c r="M39" s="30"/>
      <c r="N39" s="30"/>
      <c r="O39" s="30"/>
      <c r="P39" s="30"/>
      <c r="Q39" s="30"/>
      <c r="R39" s="30"/>
    </row>
    <row r="40" spans="2:18" x14ac:dyDescent="0.3">
      <c r="B40" s="30"/>
      <c r="C40" s="30"/>
      <c r="D40" s="30"/>
      <c r="E40" s="30"/>
      <c r="F40" s="30"/>
      <c r="G40" s="30"/>
      <c r="H40" s="30"/>
      <c r="I40" s="30"/>
      <c r="J40" s="30"/>
      <c r="K40" s="30"/>
      <c r="L40" s="30"/>
      <c r="M40" s="30"/>
      <c r="N40" s="30"/>
      <c r="O40" s="30"/>
      <c r="P40" s="30"/>
      <c r="Q40" s="30"/>
      <c r="R40" s="30"/>
    </row>
    <row r="41" spans="2:18" x14ac:dyDescent="0.3">
      <c r="B41" s="30"/>
      <c r="C41" s="30"/>
      <c r="D41" s="30"/>
      <c r="E41" s="30"/>
      <c r="F41" s="30"/>
      <c r="G41" s="30"/>
      <c r="H41" s="30"/>
      <c r="I41" s="30"/>
      <c r="J41" s="30"/>
      <c r="K41" s="30"/>
      <c r="L41" s="30"/>
      <c r="M41" s="30"/>
      <c r="N41" s="30"/>
      <c r="O41" s="30"/>
      <c r="P41" s="30"/>
      <c r="Q41" s="30"/>
      <c r="R41" s="30"/>
    </row>
    <row r="42" spans="2:18" x14ac:dyDescent="0.3">
      <c r="B42" s="30"/>
      <c r="C42" s="30"/>
      <c r="D42" s="30"/>
      <c r="E42" s="30"/>
      <c r="F42" s="30"/>
      <c r="G42" s="30"/>
      <c r="H42" s="30"/>
      <c r="I42" s="30"/>
      <c r="J42" s="30"/>
      <c r="K42" s="30"/>
      <c r="L42" s="30"/>
      <c r="M42" s="30"/>
      <c r="N42" s="30"/>
      <c r="O42" s="30"/>
      <c r="P42" s="30"/>
      <c r="Q42" s="30"/>
      <c r="R42" s="30"/>
    </row>
    <row r="43" spans="2:18" x14ac:dyDescent="0.3">
      <c r="B43" s="30"/>
      <c r="C43" s="30"/>
      <c r="D43" s="30"/>
      <c r="E43" s="30"/>
      <c r="F43" s="30"/>
      <c r="G43" s="30"/>
      <c r="H43" s="30"/>
      <c r="I43" s="30"/>
      <c r="J43" s="30"/>
      <c r="K43" s="30"/>
      <c r="L43" s="30"/>
      <c r="M43" s="30"/>
      <c r="N43" s="30"/>
      <c r="O43" s="30"/>
      <c r="P43" s="30"/>
      <c r="Q43" s="30"/>
      <c r="R43" s="30"/>
    </row>
    <row r="44" spans="2:18" x14ac:dyDescent="0.3">
      <c r="B44" s="30"/>
      <c r="C44" s="30"/>
      <c r="D44" s="30"/>
      <c r="E44" s="30"/>
      <c r="F44" s="30"/>
      <c r="G44" s="30"/>
      <c r="H44" s="30"/>
      <c r="I44" s="30"/>
      <c r="J44" s="30"/>
      <c r="K44" s="30"/>
      <c r="L44" s="30"/>
      <c r="M44" s="30"/>
      <c r="N44" s="30"/>
      <c r="O44" s="30"/>
      <c r="P44" s="30"/>
      <c r="Q44" s="30"/>
      <c r="R44" s="30"/>
    </row>
    <row r="45" spans="2:18" x14ac:dyDescent="0.3">
      <c r="B45" s="30"/>
      <c r="C45" s="30"/>
      <c r="D45" s="30"/>
      <c r="E45" s="30"/>
      <c r="F45" s="30"/>
      <c r="G45" s="30"/>
      <c r="H45" s="30"/>
      <c r="I45" s="30"/>
      <c r="J45" s="30"/>
      <c r="K45" s="30"/>
      <c r="L45" s="30"/>
      <c r="M45" s="30"/>
      <c r="N45" s="30"/>
      <c r="O45" s="30"/>
      <c r="P45" s="30"/>
      <c r="Q45" s="30"/>
      <c r="R45" s="30"/>
    </row>
    <row r="46" spans="2:18" x14ac:dyDescent="0.3">
      <c r="B46" s="30"/>
      <c r="C46" s="30"/>
      <c r="D46" s="30"/>
      <c r="E46" s="30"/>
      <c r="F46" s="30"/>
      <c r="G46" s="30"/>
      <c r="H46" s="30"/>
      <c r="I46" s="30"/>
      <c r="J46" s="30"/>
      <c r="K46" s="30"/>
      <c r="L46" s="30"/>
      <c r="M46" s="30"/>
      <c r="N46" s="30"/>
      <c r="O46" s="30"/>
      <c r="P46" s="30"/>
      <c r="Q46" s="30"/>
      <c r="R46" s="30"/>
    </row>
    <row r="47" spans="2:18" x14ac:dyDescent="0.3">
      <c r="B47" s="30"/>
      <c r="C47" s="30"/>
      <c r="D47" s="30"/>
      <c r="E47" s="30"/>
      <c r="F47" s="30"/>
      <c r="G47" s="30"/>
      <c r="H47" s="30"/>
      <c r="I47" s="30"/>
      <c r="J47" s="30"/>
      <c r="K47" s="30"/>
      <c r="L47" s="30"/>
      <c r="M47" s="30"/>
      <c r="N47" s="30"/>
      <c r="O47" s="30"/>
      <c r="P47" s="30"/>
      <c r="Q47" s="30"/>
      <c r="R47" s="30"/>
    </row>
    <row r="48" spans="2:18" x14ac:dyDescent="0.3">
      <c r="B48" s="30"/>
      <c r="C48" s="30"/>
      <c r="D48" s="30"/>
      <c r="E48" s="30"/>
      <c r="F48" s="30"/>
      <c r="G48" s="30"/>
      <c r="H48" s="30"/>
      <c r="I48" s="30"/>
      <c r="J48" s="30"/>
      <c r="K48" s="30"/>
      <c r="L48" s="30"/>
      <c r="M48" s="30"/>
      <c r="N48" s="30"/>
      <c r="O48" s="30"/>
      <c r="P48" s="30"/>
      <c r="Q48" s="30"/>
      <c r="R48" s="30"/>
    </row>
    <row r="49" spans="2:18" x14ac:dyDescent="0.3">
      <c r="B49" s="30"/>
      <c r="C49" s="30"/>
      <c r="D49" s="30"/>
      <c r="E49" s="30"/>
      <c r="F49" s="30"/>
      <c r="G49" s="30"/>
      <c r="H49" s="30"/>
      <c r="I49" s="30"/>
      <c r="J49" s="30"/>
      <c r="K49" s="30"/>
      <c r="L49" s="30"/>
      <c r="M49" s="30"/>
      <c r="N49" s="30"/>
      <c r="O49" s="30"/>
      <c r="P49" s="30"/>
      <c r="Q49" s="30"/>
      <c r="R49" s="30"/>
    </row>
    <row r="50" spans="2:18" x14ac:dyDescent="0.3">
      <c r="B50" s="30"/>
      <c r="C50" s="30"/>
      <c r="D50" s="30"/>
      <c r="E50" s="30"/>
      <c r="F50" s="30"/>
      <c r="G50" s="30"/>
      <c r="H50" s="30"/>
      <c r="I50" s="30"/>
      <c r="J50" s="30"/>
      <c r="K50" s="30"/>
      <c r="L50" s="30"/>
      <c r="M50" s="30"/>
      <c r="N50" s="30"/>
      <c r="O50" s="30"/>
      <c r="P50" s="30"/>
      <c r="Q50" s="30"/>
      <c r="R50" s="30"/>
    </row>
    <row r="51" spans="2:18" x14ac:dyDescent="0.3">
      <c r="B51" s="30"/>
      <c r="C51" s="30"/>
      <c r="D51" s="30"/>
      <c r="E51" s="30"/>
      <c r="F51" s="30"/>
      <c r="G51" s="30"/>
      <c r="H51" s="30"/>
      <c r="I51" s="30"/>
      <c r="J51" s="30"/>
      <c r="K51" s="30"/>
      <c r="L51" s="30"/>
      <c r="M51" s="30"/>
      <c r="N51" s="30"/>
      <c r="O51" s="30"/>
      <c r="P51" s="30"/>
      <c r="Q51" s="30"/>
      <c r="R51" s="30"/>
    </row>
    <row r="52" spans="2:18" x14ac:dyDescent="0.3">
      <c r="B52" s="30"/>
      <c r="C52" s="30"/>
      <c r="D52" s="30"/>
      <c r="E52" s="30"/>
      <c r="F52" s="30"/>
      <c r="G52" s="30"/>
      <c r="H52" s="30"/>
      <c r="I52" s="30"/>
      <c r="J52" s="30"/>
      <c r="K52" s="30"/>
      <c r="L52" s="30"/>
      <c r="M52" s="30"/>
      <c r="N52" s="30"/>
      <c r="O52" s="30"/>
      <c r="P52" s="30"/>
      <c r="Q52" s="30"/>
      <c r="R52" s="30"/>
    </row>
    <row r="53" spans="2:18" x14ac:dyDescent="0.3">
      <c r="B53" s="30"/>
      <c r="C53" s="30"/>
      <c r="D53" s="30"/>
      <c r="E53" s="30"/>
      <c r="F53" s="30"/>
      <c r="G53" s="30"/>
      <c r="H53" s="30"/>
      <c r="I53" s="30"/>
      <c r="J53" s="30"/>
      <c r="K53" s="30"/>
      <c r="L53" s="30"/>
      <c r="M53" s="30"/>
      <c r="N53" s="30"/>
      <c r="O53" s="30"/>
      <c r="P53" s="30"/>
      <c r="Q53" s="30"/>
      <c r="R53" s="30"/>
    </row>
    <row r="54" spans="2:18" x14ac:dyDescent="0.3">
      <c r="B54" s="30"/>
      <c r="C54" s="30"/>
      <c r="D54" s="30"/>
      <c r="E54" s="30"/>
      <c r="F54" s="30"/>
      <c r="G54" s="30"/>
      <c r="H54" s="30"/>
      <c r="I54" s="30"/>
      <c r="J54" s="30"/>
      <c r="K54" s="30"/>
      <c r="L54" s="30"/>
      <c r="M54" s="30"/>
      <c r="N54" s="30"/>
      <c r="O54" s="30"/>
      <c r="P54" s="30"/>
      <c r="Q54" s="30"/>
      <c r="R54" s="30"/>
    </row>
    <row r="55" spans="2:18" x14ac:dyDescent="0.3">
      <c r="B55" s="30"/>
      <c r="C55" s="30"/>
      <c r="D55" s="30"/>
      <c r="E55" s="30"/>
      <c r="F55" s="30"/>
      <c r="G55" s="30"/>
      <c r="H55" s="30"/>
      <c r="I55" s="30"/>
      <c r="J55" s="30"/>
      <c r="K55" s="30"/>
      <c r="L55" s="30"/>
      <c r="M55" s="30"/>
      <c r="N55" s="30"/>
      <c r="O55" s="30"/>
      <c r="P55" s="30"/>
      <c r="Q55" s="30"/>
      <c r="R55" s="30"/>
    </row>
    <row r="56" spans="2:18" x14ac:dyDescent="0.3">
      <c r="B56" s="30"/>
      <c r="C56" s="30"/>
      <c r="D56" s="30"/>
      <c r="E56" s="30"/>
      <c r="F56" s="30"/>
      <c r="G56" s="30"/>
      <c r="H56" s="30"/>
      <c r="I56" s="30"/>
      <c r="J56" s="30"/>
      <c r="K56" s="30"/>
      <c r="L56" s="30"/>
      <c r="M56" s="30"/>
      <c r="N56" s="30"/>
      <c r="O56" s="30"/>
      <c r="P56" s="30"/>
      <c r="Q56" s="30"/>
      <c r="R56" s="30"/>
    </row>
    <row r="57" spans="2:18" x14ac:dyDescent="0.3">
      <c r="B57" s="30"/>
      <c r="C57" s="30"/>
      <c r="D57" s="30"/>
      <c r="E57" s="30"/>
      <c r="F57" s="30"/>
      <c r="G57" s="30"/>
      <c r="H57" s="30"/>
      <c r="I57" s="30"/>
      <c r="J57" s="30"/>
      <c r="K57" s="30"/>
      <c r="L57" s="30"/>
      <c r="M57" s="30"/>
      <c r="N57" s="30"/>
      <c r="O57" s="30"/>
      <c r="P57" s="30"/>
      <c r="Q57" s="30"/>
      <c r="R57" s="30"/>
    </row>
    <row r="58" spans="2:18" x14ac:dyDescent="0.3">
      <c r="B58" s="30"/>
      <c r="C58" s="30"/>
      <c r="D58" s="30"/>
      <c r="E58" s="30"/>
      <c r="F58" s="30"/>
      <c r="G58" s="30"/>
      <c r="H58" s="30"/>
      <c r="I58" s="30"/>
      <c r="J58" s="30"/>
      <c r="K58" s="30"/>
      <c r="L58" s="30"/>
      <c r="M58" s="30"/>
      <c r="N58" s="30"/>
      <c r="O58" s="30"/>
      <c r="P58" s="30"/>
      <c r="Q58" s="30"/>
      <c r="R58" s="30"/>
    </row>
    <row r="59" spans="2:18" x14ac:dyDescent="0.3">
      <c r="B59" s="30"/>
      <c r="C59" s="30"/>
      <c r="D59" s="30"/>
      <c r="E59" s="30"/>
      <c r="F59" s="30"/>
      <c r="G59" s="30"/>
      <c r="H59" s="30"/>
      <c r="I59" s="30"/>
      <c r="J59" s="30"/>
      <c r="K59" s="30"/>
      <c r="L59" s="30"/>
      <c r="M59" s="30"/>
      <c r="N59" s="30"/>
      <c r="O59" s="30"/>
      <c r="P59" s="30"/>
      <c r="Q59" s="30"/>
      <c r="R59" s="30"/>
    </row>
    <row r="60" spans="2:18" x14ac:dyDescent="0.3">
      <c r="B60" s="30"/>
      <c r="C60" s="30"/>
      <c r="D60" s="30"/>
      <c r="E60" s="30"/>
      <c r="F60" s="30"/>
      <c r="G60" s="30"/>
      <c r="H60" s="30"/>
      <c r="I60" s="30"/>
      <c r="J60" s="30"/>
      <c r="K60" s="30"/>
      <c r="L60" s="30"/>
      <c r="M60" s="30"/>
      <c r="N60" s="30"/>
      <c r="O60" s="30"/>
      <c r="P60" s="30"/>
      <c r="Q60" s="30"/>
      <c r="R60" s="30"/>
    </row>
    <row r="61" spans="2:18" x14ac:dyDescent="0.3">
      <c r="B61" s="30"/>
      <c r="C61" s="30"/>
      <c r="D61" s="30"/>
      <c r="E61" s="30"/>
      <c r="F61" s="30"/>
      <c r="G61" s="30"/>
      <c r="H61" s="30"/>
      <c r="I61" s="30"/>
      <c r="J61" s="30"/>
      <c r="K61" s="30"/>
      <c r="L61" s="30"/>
      <c r="M61" s="30"/>
      <c r="N61" s="30"/>
      <c r="O61" s="30"/>
      <c r="P61" s="30"/>
      <c r="Q61" s="30"/>
      <c r="R61" s="30"/>
    </row>
    <row r="62" spans="2:18" x14ac:dyDescent="0.3">
      <c r="B62" s="30"/>
      <c r="C62" s="30"/>
      <c r="D62" s="30"/>
      <c r="E62" s="30"/>
      <c r="F62" s="30"/>
      <c r="G62" s="30"/>
      <c r="H62" s="30"/>
      <c r="I62" s="30"/>
      <c r="J62" s="30"/>
      <c r="K62" s="30"/>
      <c r="L62" s="30"/>
      <c r="M62" s="30"/>
      <c r="N62" s="30"/>
      <c r="O62" s="30"/>
      <c r="P62" s="30"/>
      <c r="Q62" s="30"/>
      <c r="R62" s="30"/>
    </row>
    <row r="63" spans="2:18" x14ac:dyDescent="0.3">
      <c r="B63" s="30"/>
      <c r="C63" s="30"/>
      <c r="D63" s="30"/>
      <c r="E63" s="30"/>
      <c r="F63" s="30"/>
      <c r="G63" s="30"/>
      <c r="H63" s="30"/>
      <c r="I63" s="30"/>
      <c r="J63" s="30"/>
      <c r="K63" s="30"/>
      <c r="L63" s="30"/>
      <c r="M63" s="30"/>
      <c r="N63" s="30"/>
      <c r="O63" s="30"/>
      <c r="P63" s="30"/>
      <c r="Q63" s="30"/>
      <c r="R63" s="30"/>
    </row>
    <row r="64" spans="2:18" x14ac:dyDescent="0.3">
      <c r="B64" s="30"/>
      <c r="C64" s="30"/>
      <c r="D64" s="30"/>
      <c r="E64" s="30"/>
      <c r="F64" s="30"/>
      <c r="G64" s="30"/>
      <c r="H64" s="30"/>
      <c r="I64" s="30"/>
      <c r="J64" s="30"/>
      <c r="K64" s="30"/>
      <c r="L64" s="30"/>
      <c r="M64" s="30"/>
      <c r="N64" s="30"/>
      <c r="O64" s="30"/>
      <c r="P64" s="30"/>
      <c r="Q64" s="30"/>
      <c r="R64" s="30"/>
    </row>
    <row r="65" spans="2:18" x14ac:dyDescent="0.3">
      <c r="B65" s="30"/>
      <c r="C65" s="30"/>
      <c r="D65" s="30"/>
      <c r="E65" s="30"/>
      <c r="F65" s="30"/>
      <c r="G65" s="30"/>
      <c r="H65" s="30"/>
      <c r="I65" s="30"/>
      <c r="J65" s="30"/>
      <c r="K65" s="30"/>
      <c r="L65" s="30"/>
      <c r="M65" s="30"/>
      <c r="N65" s="30"/>
      <c r="O65" s="30"/>
      <c r="P65" s="30"/>
      <c r="Q65" s="30"/>
      <c r="R65" s="30"/>
    </row>
    <row r="66" spans="2:18" x14ac:dyDescent="0.3">
      <c r="B66" s="30"/>
      <c r="C66" s="30"/>
      <c r="D66" s="30"/>
      <c r="E66" s="30"/>
      <c r="F66" s="30"/>
      <c r="G66" s="30"/>
      <c r="H66" s="30"/>
      <c r="I66" s="30"/>
      <c r="J66" s="30"/>
      <c r="K66" s="30"/>
      <c r="L66" s="30"/>
      <c r="M66" s="30"/>
      <c r="N66" s="30"/>
      <c r="O66" s="30"/>
      <c r="P66" s="30"/>
      <c r="Q66" s="30"/>
      <c r="R66" s="30"/>
    </row>
    <row r="67" spans="2:18" x14ac:dyDescent="0.3">
      <c r="B67" s="30"/>
      <c r="C67" s="30"/>
      <c r="D67" s="30"/>
      <c r="E67" s="30"/>
      <c r="F67" s="30"/>
      <c r="G67" s="30"/>
      <c r="H67" s="30"/>
      <c r="I67" s="30"/>
      <c r="J67" s="30"/>
      <c r="K67" s="30"/>
      <c r="L67" s="30"/>
      <c r="M67" s="30"/>
      <c r="N67" s="30"/>
      <c r="O67" s="30"/>
      <c r="P67" s="30"/>
      <c r="Q67" s="30"/>
      <c r="R67" s="30"/>
    </row>
    <row r="68" spans="2:18" x14ac:dyDescent="0.3">
      <c r="B68" s="30"/>
      <c r="C68" s="30"/>
      <c r="D68" s="30"/>
      <c r="E68" s="30"/>
      <c r="F68" s="30"/>
      <c r="G68" s="30"/>
      <c r="H68" s="30"/>
      <c r="I68" s="30"/>
      <c r="J68" s="30"/>
      <c r="K68" s="30"/>
      <c r="L68" s="30"/>
      <c r="M68" s="30"/>
      <c r="N68" s="30"/>
      <c r="O68" s="30"/>
      <c r="P68" s="30"/>
      <c r="Q68" s="30"/>
      <c r="R68" s="30"/>
    </row>
    <row r="69" spans="2:18" x14ac:dyDescent="0.3">
      <c r="B69" s="30"/>
      <c r="C69" s="30"/>
      <c r="D69" s="30"/>
      <c r="E69" s="30"/>
      <c r="F69" s="30"/>
      <c r="G69" s="30"/>
      <c r="H69" s="30"/>
      <c r="I69" s="30"/>
      <c r="J69" s="30"/>
      <c r="K69" s="30"/>
      <c r="L69" s="30"/>
      <c r="M69" s="30"/>
      <c r="N69" s="30"/>
      <c r="O69" s="30"/>
      <c r="P69" s="30"/>
      <c r="Q69" s="30"/>
      <c r="R69" s="30"/>
    </row>
    <row r="70" spans="2:18" x14ac:dyDescent="0.3">
      <c r="B70" s="30"/>
      <c r="C70" s="30"/>
      <c r="D70" s="30"/>
      <c r="E70" s="30"/>
      <c r="F70" s="30"/>
      <c r="G70" s="30"/>
      <c r="H70" s="30"/>
      <c r="I70" s="30"/>
      <c r="J70" s="30"/>
      <c r="K70" s="30"/>
      <c r="L70" s="30"/>
      <c r="M70" s="30"/>
      <c r="N70" s="30"/>
      <c r="O70" s="30"/>
      <c r="P70" s="30"/>
      <c r="Q70" s="30"/>
      <c r="R70" s="30"/>
    </row>
    <row r="71" spans="2:18" x14ac:dyDescent="0.3">
      <c r="B71" s="30"/>
      <c r="C71" s="30"/>
      <c r="D71" s="30"/>
      <c r="E71" s="30"/>
      <c r="F71" s="30"/>
      <c r="G71" s="30"/>
      <c r="H71" s="30"/>
      <c r="I71" s="30"/>
      <c r="J71" s="30"/>
      <c r="K71" s="30"/>
      <c r="L71" s="30"/>
      <c r="M71" s="30"/>
      <c r="N71" s="30"/>
      <c r="O71" s="30"/>
      <c r="P71" s="30"/>
      <c r="Q71" s="30"/>
      <c r="R71" s="30"/>
    </row>
    <row r="72" spans="2:18" x14ac:dyDescent="0.3">
      <c r="B72" s="30"/>
      <c r="C72" s="30"/>
      <c r="D72" s="30"/>
      <c r="E72" s="30"/>
      <c r="F72" s="30"/>
      <c r="G72" s="30"/>
      <c r="H72" s="30"/>
      <c r="I72" s="30"/>
      <c r="J72" s="30"/>
      <c r="K72" s="30"/>
      <c r="L72" s="30"/>
      <c r="M72" s="30"/>
      <c r="N72" s="30"/>
      <c r="O72" s="30"/>
      <c r="P72" s="30"/>
      <c r="Q72" s="30"/>
      <c r="R72" s="30"/>
    </row>
    <row r="73" spans="2:18" x14ac:dyDescent="0.3">
      <c r="B73" s="30"/>
      <c r="C73" s="30"/>
      <c r="D73" s="30"/>
      <c r="E73" s="30"/>
      <c r="F73" s="30"/>
      <c r="G73" s="30"/>
      <c r="H73" s="30"/>
      <c r="I73" s="30"/>
      <c r="J73" s="30"/>
      <c r="K73" s="30"/>
      <c r="L73" s="30"/>
      <c r="M73" s="30"/>
      <c r="N73" s="30"/>
      <c r="O73" s="30"/>
      <c r="P73" s="30"/>
      <c r="Q73" s="30"/>
      <c r="R73" s="30"/>
    </row>
    <row r="74" spans="2:18" x14ac:dyDescent="0.3">
      <c r="B74" s="30"/>
      <c r="C74" s="30"/>
      <c r="D74" s="30"/>
      <c r="E74" s="30"/>
      <c r="F74" s="30"/>
      <c r="G74" s="30"/>
      <c r="H74" s="30"/>
      <c r="I74" s="30"/>
      <c r="J74" s="30"/>
      <c r="K74" s="30"/>
      <c r="L74" s="30"/>
      <c r="M74" s="30"/>
      <c r="N74" s="30"/>
      <c r="O74" s="30"/>
      <c r="P74" s="30"/>
      <c r="Q74" s="30"/>
      <c r="R74" s="30"/>
    </row>
    <row r="75" spans="2:18" x14ac:dyDescent="0.3">
      <c r="B75" s="30"/>
      <c r="C75" s="30"/>
      <c r="D75" s="30"/>
      <c r="E75" s="30"/>
      <c r="F75" s="30"/>
      <c r="G75" s="30"/>
      <c r="H75" s="30"/>
      <c r="I75" s="30"/>
      <c r="J75" s="30"/>
      <c r="K75" s="30"/>
      <c r="L75" s="30"/>
      <c r="M75" s="30"/>
      <c r="N75" s="30"/>
      <c r="O75" s="30"/>
      <c r="P75" s="30"/>
      <c r="Q75" s="30"/>
      <c r="R75" s="30"/>
    </row>
    <row r="76" spans="2:18" x14ac:dyDescent="0.3">
      <c r="B76" s="30"/>
      <c r="C76" s="30"/>
      <c r="D76" s="30"/>
      <c r="E76" s="30"/>
      <c r="F76" s="30"/>
      <c r="G76" s="30"/>
      <c r="H76" s="30"/>
      <c r="I76" s="30"/>
      <c r="J76" s="30"/>
      <c r="K76" s="30"/>
      <c r="L76" s="30"/>
      <c r="M76" s="30"/>
      <c r="N76" s="30"/>
      <c r="O76" s="30"/>
      <c r="P76" s="30"/>
      <c r="Q76" s="30"/>
      <c r="R76" s="30"/>
    </row>
    <row r="77" spans="2:18" x14ac:dyDescent="0.3">
      <c r="B77" s="30"/>
      <c r="C77" s="30"/>
      <c r="D77" s="30"/>
      <c r="E77" s="30"/>
      <c r="F77" s="30"/>
      <c r="G77" s="30"/>
      <c r="H77" s="30"/>
      <c r="I77" s="30"/>
      <c r="J77" s="30"/>
      <c r="K77" s="30"/>
      <c r="L77" s="30"/>
      <c r="M77" s="30"/>
      <c r="N77" s="30"/>
      <c r="O77" s="30"/>
      <c r="P77" s="30"/>
      <c r="Q77" s="30"/>
      <c r="R77" s="30"/>
    </row>
    <row r="78" spans="2:18" x14ac:dyDescent="0.3">
      <c r="B78" s="30"/>
      <c r="C78" s="30"/>
      <c r="D78" s="30"/>
      <c r="E78" s="30"/>
      <c r="F78" s="30"/>
      <c r="G78" s="30"/>
      <c r="H78" s="30"/>
      <c r="I78" s="30"/>
      <c r="J78" s="30"/>
      <c r="K78" s="30"/>
      <c r="L78" s="30"/>
      <c r="M78" s="30"/>
      <c r="N78" s="30"/>
      <c r="O78" s="30"/>
      <c r="P78" s="30"/>
      <c r="Q78" s="30"/>
      <c r="R78" s="30"/>
    </row>
    <row r="79" spans="2:18" x14ac:dyDescent="0.3">
      <c r="B79" s="30"/>
      <c r="C79" s="30"/>
      <c r="D79" s="30"/>
      <c r="E79" s="30"/>
      <c r="F79" s="30"/>
      <c r="G79" s="30"/>
      <c r="H79" s="30"/>
      <c r="I79" s="30"/>
      <c r="J79" s="30"/>
      <c r="K79" s="30"/>
      <c r="L79" s="30"/>
      <c r="M79" s="30"/>
      <c r="N79" s="30"/>
      <c r="O79" s="30"/>
      <c r="P79" s="30"/>
      <c r="Q79" s="30"/>
      <c r="R79" s="30"/>
    </row>
    <row r="80" spans="2:18" x14ac:dyDescent="0.3">
      <c r="B80" s="30"/>
      <c r="C80" s="30"/>
      <c r="D80" s="30"/>
      <c r="E80" s="30"/>
      <c r="F80" s="30"/>
      <c r="G80" s="30"/>
      <c r="H80" s="30"/>
      <c r="I80" s="30"/>
      <c r="J80" s="30"/>
      <c r="K80" s="30"/>
      <c r="L80" s="30"/>
      <c r="M80" s="30"/>
      <c r="N80" s="30"/>
      <c r="O80" s="30"/>
      <c r="P80" s="30"/>
      <c r="Q80" s="30"/>
      <c r="R80" s="30"/>
    </row>
    <row r="81" spans="2:18" x14ac:dyDescent="0.3">
      <c r="B81" s="30"/>
      <c r="C81" s="30"/>
      <c r="D81" s="30"/>
      <c r="E81" s="30"/>
      <c r="F81" s="30"/>
      <c r="G81" s="30"/>
      <c r="H81" s="30"/>
      <c r="I81" s="30"/>
      <c r="J81" s="30"/>
      <c r="K81" s="30"/>
      <c r="L81" s="30"/>
      <c r="M81" s="30"/>
      <c r="N81" s="30"/>
      <c r="O81" s="30"/>
      <c r="P81" s="30"/>
      <c r="Q81" s="30"/>
      <c r="R81" s="30"/>
    </row>
    <row r="82" spans="2:18" x14ac:dyDescent="0.3">
      <c r="B82" s="30"/>
      <c r="C82" s="30"/>
      <c r="D82" s="30"/>
      <c r="E82" s="30"/>
      <c r="F82" s="30"/>
      <c r="G82" s="30"/>
      <c r="H82" s="30"/>
      <c r="I82" s="30"/>
      <c r="J82" s="30"/>
      <c r="K82" s="30"/>
      <c r="L82" s="30"/>
      <c r="M82" s="30"/>
      <c r="N82" s="30"/>
      <c r="O82" s="30"/>
      <c r="P82" s="30"/>
      <c r="Q82" s="30"/>
      <c r="R82" s="30"/>
    </row>
    <row r="83" spans="2:18" x14ac:dyDescent="0.3">
      <c r="B83" s="30"/>
      <c r="C83" s="30"/>
      <c r="D83" s="30"/>
      <c r="E83" s="30"/>
      <c r="F83" s="30"/>
      <c r="G83" s="30"/>
      <c r="H83" s="30"/>
      <c r="I83" s="30"/>
      <c r="J83" s="30"/>
      <c r="K83" s="30"/>
      <c r="L83" s="30"/>
      <c r="M83" s="30"/>
      <c r="N83" s="30"/>
      <c r="O83" s="30"/>
      <c r="P83" s="30"/>
      <c r="Q83" s="30"/>
      <c r="R83" s="30"/>
    </row>
    <row r="84" spans="2:18" x14ac:dyDescent="0.3">
      <c r="B84" s="30"/>
      <c r="C84" s="30"/>
      <c r="D84" s="30"/>
      <c r="E84" s="30"/>
      <c r="F84" s="30"/>
      <c r="G84" s="30"/>
      <c r="H84" s="30"/>
      <c r="I84" s="30"/>
      <c r="J84" s="30"/>
      <c r="K84" s="30"/>
      <c r="L84" s="30"/>
      <c r="M84" s="30"/>
      <c r="N84" s="30"/>
      <c r="O84" s="30"/>
      <c r="P84" s="30"/>
      <c r="Q84" s="30"/>
      <c r="R84" s="30"/>
    </row>
    <row r="85" spans="2:18" x14ac:dyDescent="0.3">
      <c r="B85" s="30"/>
      <c r="C85" s="30"/>
      <c r="D85" s="30"/>
      <c r="E85" s="30"/>
      <c r="F85" s="30"/>
      <c r="G85" s="30"/>
      <c r="H85" s="30"/>
      <c r="I85" s="30"/>
      <c r="J85" s="30"/>
      <c r="K85" s="30"/>
      <c r="L85" s="30"/>
      <c r="M85" s="30"/>
      <c r="N85" s="30"/>
      <c r="O85" s="30"/>
      <c r="P85" s="30"/>
      <c r="Q85" s="30"/>
      <c r="R85" s="30"/>
    </row>
    <row r="86" spans="2:18" x14ac:dyDescent="0.3">
      <c r="B86" s="30"/>
      <c r="C86" s="30"/>
      <c r="D86" s="30"/>
      <c r="E86" s="30"/>
      <c r="F86" s="30"/>
      <c r="G86" s="30"/>
      <c r="H86" s="30"/>
      <c r="I86" s="30"/>
      <c r="J86" s="30"/>
      <c r="K86" s="30"/>
      <c r="L86" s="30"/>
      <c r="M86" s="30"/>
      <c r="N86" s="30"/>
      <c r="O86" s="30"/>
      <c r="P86" s="30"/>
      <c r="Q86" s="30"/>
      <c r="R86" s="30"/>
    </row>
    <row r="87" spans="2:18" x14ac:dyDescent="0.3">
      <c r="B87" s="30"/>
      <c r="C87" s="30"/>
      <c r="D87" s="30"/>
      <c r="E87" s="30"/>
      <c r="F87" s="30"/>
      <c r="G87" s="30"/>
      <c r="H87" s="30"/>
      <c r="I87" s="30"/>
      <c r="J87" s="30"/>
      <c r="K87" s="30"/>
      <c r="L87" s="30"/>
      <c r="M87" s="30"/>
      <c r="N87" s="30"/>
      <c r="O87" s="30"/>
      <c r="P87" s="30"/>
      <c r="Q87" s="30"/>
      <c r="R87" s="30"/>
    </row>
    <row r="88" spans="2:18" x14ac:dyDescent="0.3">
      <c r="B88" s="30"/>
      <c r="C88" s="30"/>
      <c r="D88" s="30"/>
      <c r="E88" s="30"/>
      <c r="F88" s="30"/>
      <c r="G88" s="30"/>
      <c r="H88" s="30"/>
      <c r="I88" s="30"/>
      <c r="J88" s="30"/>
      <c r="K88" s="30"/>
      <c r="L88" s="30"/>
      <c r="M88" s="30"/>
      <c r="N88" s="30"/>
      <c r="O88" s="30"/>
      <c r="P88" s="30"/>
      <c r="Q88" s="30"/>
      <c r="R88" s="30"/>
    </row>
    <row r="89" spans="2:18" x14ac:dyDescent="0.3">
      <c r="B89" s="30"/>
      <c r="C89" s="30"/>
      <c r="D89" s="30"/>
      <c r="E89" s="30"/>
      <c r="F89" s="30"/>
      <c r="G89" s="30"/>
      <c r="H89" s="30"/>
      <c r="I89" s="30"/>
      <c r="J89" s="30"/>
      <c r="K89" s="30"/>
      <c r="L89" s="30"/>
      <c r="M89" s="30"/>
      <c r="N89" s="30"/>
      <c r="O89" s="30"/>
      <c r="P89" s="30"/>
      <c r="Q89" s="30"/>
      <c r="R89" s="30"/>
    </row>
    <row r="90" spans="2:18" x14ac:dyDescent="0.3">
      <c r="B90" s="30"/>
      <c r="C90" s="30"/>
      <c r="D90" s="30"/>
      <c r="E90" s="30"/>
      <c r="F90" s="30"/>
      <c r="G90" s="30"/>
      <c r="H90" s="30"/>
      <c r="I90" s="30"/>
      <c r="J90" s="30"/>
      <c r="K90" s="30"/>
      <c r="L90" s="30"/>
      <c r="M90" s="30"/>
      <c r="N90" s="30"/>
      <c r="O90" s="30"/>
      <c r="P90" s="30"/>
      <c r="Q90" s="30"/>
      <c r="R90" s="30"/>
    </row>
    <row r="91" spans="2:18" x14ac:dyDescent="0.3">
      <c r="B91" s="30"/>
      <c r="C91" s="30"/>
      <c r="D91" s="30"/>
      <c r="E91" s="30"/>
      <c r="F91" s="30"/>
      <c r="G91" s="30"/>
      <c r="H91" s="30"/>
      <c r="I91" s="30"/>
      <c r="J91" s="30"/>
      <c r="K91" s="30"/>
      <c r="L91" s="30"/>
      <c r="M91" s="30"/>
      <c r="N91" s="30"/>
      <c r="O91" s="30"/>
      <c r="P91" s="30"/>
      <c r="Q91" s="30"/>
      <c r="R91" s="30"/>
    </row>
    <row r="92" spans="2:18" x14ac:dyDescent="0.3">
      <c r="B92" s="30"/>
      <c r="C92" s="30"/>
      <c r="D92" s="30"/>
      <c r="E92" s="30"/>
      <c r="F92" s="30"/>
      <c r="G92" s="30"/>
      <c r="H92" s="30"/>
      <c r="I92" s="30"/>
      <c r="J92" s="30"/>
      <c r="K92" s="30"/>
      <c r="L92" s="30"/>
      <c r="M92" s="30"/>
      <c r="N92" s="30"/>
      <c r="O92" s="30"/>
      <c r="P92" s="30"/>
      <c r="Q92" s="30"/>
      <c r="R92" s="30"/>
    </row>
    <row r="93" spans="2:18" x14ac:dyDescent="0.3">
      <c r="B93" s="30"/>
      <c r="C93" s="30"/>
      <c r="D93" s="30"/>
      <c r="E93" s="30"/>
      <c r="F93" s="30"/>
      <c r="G93" s="30"/>
      <c r="H93" s="30"/>
      <c r="I93" s="30"/>
      <c r="J93" s="30"/>
      <c r="K93" s="30"/>
      <c r="L93" s="30"/>
      <c r="M93" s="30"/>
      <c r="N93" s="30"/>
      <c r="O93" s="30"/>
      <c r="P93" s="30"/>
      <c r="Q93" s="30"/>
      <c r="R93" s="30"/>
    </row>
    <row r="94" spans="2:18" x14ac:dyDescent="0.3">
      <c r="B94" s="30"/>
      <c r="C94" s="30"/>
      <c r="D94" s="30"/>
      <c r="E94" s="30"/>
      <c r="F94" s="30"/>
      <c r="G94" s="30"/>
      <c r="H94" s="30"/>
      <c r="I94" s="30"/>
      <c r="J94" s="30"/>
      <c r="K94" s="30"/>
      <c r="L94" s="30"/>
      <c r="M94" s="30"/>
      <c r="N94" s="30"/>
      <c r="O94" s="30"/>
      <c r="P94" s="30"/>
      <c r="Q94" s="30"/>
      <c r="R94" s="30"/>
    </row>
    <row r="95" spans="2:18" x14ac:dyDescent="0.3">
      <c r="B95" s="30"/>
      <c r="C95" s="30"/>
      <c r="D95" s="30"/>
      <c r="E95" s="30"/>
      <c r="F95" s="30"/>
      <c r="G95" s="30"/>
      <c r="H95" s="30"/>
      <c r="I95" s="30"/>
      <c r="J95" s="30"/>
      <c r="K95" s="30"/>
      <c r="L95" s="30"/>
      <c r="M95" s="30"/>
      <c r="N95" s="30"/>
      <c r="O95" s="30"/>
      <c r="P95" s="30"/>
      <c r="Q95" s="30"/>
      <c r="R95" s="30"/>
    </row>
    <row r="96" spans="2:18" x14ac:dyDescent="0.3">
      <c r="B96" s="30"/>
      <c r="C96" s="30"/>
      <c r="D96" s="30"/>
      <c r="E96" s="30"/>
      <c r="F96" s="30"/>
      <c r="G96" s="30"/>
      <c r="H96" s="30"/>
      <c r="I96" s="30"/>
      <c r="J96" s="30"/>
      <c r="K96" s="30"/>
      <c r="L96" s="30"/>
      <c r="M96" s="30"/>
      <c r="N96" s="30"/>
      <c r="O96" s="30"/>
      <c r="P96" s="30"/>
      <c r="Q96" s="30"/>
      <c r="R96" s="30"/>
    </row>
    <row r="97" spans="2:18" x14ac:dyDescent="0.3">
      <c r="B97" s="30"/>
      <c r="C97" s="30"/>
      <c r="D97" s="30"/>
      <c r="E97" s="30"/>
      <c r="F97" s="30"/>
      <c r="G97" s="30"/>
      <c r="H97" s="30"/>
      <c r="I97" s="30"/>
      <c r="J97" s="30"/>
      <c r="K97" s="30"/>
      <c r="L97" s="30"/>
      <c r="M97" s="30"/>
      <c r="N97" s="30"/>
      <c r="O97" s="30"/>
      <c r="P97" s="30"/>
      <c r="Q97" s="30"/>
      <c r="R97" s="30"/>
    </row>
    <row r="98" spans="2:18" x14ac:dyDescent="0.3">
      <c r="B98" s="30"/>
      <c r="C98" s="30"/>
      <c r="D98" s="30"/>
      <c r="E98" s="30"/>
      <c r="F98" s="30"/>
      <c r="G98" s="30"/>
      <c r="H98" s="30"/>
      <c r="I98" s="30"/>
      <c r="J98" s="30"/>
      <c r="K98" s="30"/>
      <c r="L98" s="30"/>
      <c r="M98" s="30"/>
      <c r="N98" s="30"/>
      <c r="O98" s="30"/>
      <c r="P98" s="30"/>
      <c r="Q98" s="30"/>
      <c r="R98" s="30"/>
    </row>
    <row r="99" spans="2:18" x14ac:dyDescent="0.3">
      <c r="B99" s="30"/>
      <c r="C99" s="30"/>
      <c r="D99" s="30"/>
      <c r="E99" s="30"/>
      <c r="F99" s="30"/>
      <c r="G99" s="30"/>
      <c r="H99" s="30"/>
      <c r="I99" s="30"/>
      <c r="J99" s="30"/>
      <c r="K99" s="30"/>
      <c r="L99" s="30"/>
      <c r="M99" s="30"/>
      <c r="N99" s="30"/>
      <c r="O99" s="30"/>
      <c r="P99" s="30"/>
      <c r="Q99" s="30"/>
      <c r="R99" s="30"/>
    </row>
    <row r="100" spans="2:18" x14ac:dyDescent="0.3">
      <c r="B100" s="30"/>
      <c r="C100" s="30"/>
      <c r="D100" s="30"/>
      <c r="E100" s="30"/>
      <c r="F100" s="30"/>
      <c r="G100" s="30"/>
      <c r="H100" s="30"/>
      <c r="I100" s="30"/>
      <c r="J100" s="30"/>
      <c r="K100" s="30"/>
      <c r="L100" s="30"/>
      <c r="M100" s="30"/>
      <c r="N100" s="30"/>
      <c r="O100" s="30"/>
      <c r="P100" s="30"/>
      <c r="Q100" s="30"/>
      <c r="R100" s="30"/>
    </row>
    <row r="101" spans="2:18" x14ac:dyDescent="0.3">
      <c r="B101" s="30"/>
      <c r="C101" s="30"/>
      <c r="D101" s="30"/>
      <c r="E101" s="30"/>
      <c r="F101" s="30"/>
      <c r="G101" s="30"/>
      <c r="H101" s="30"/>
      <c r="I101" s="30"/>
      <c r="J101" s="30"/>
      <c r="K101" s="30"/>
      <c r="L101" s="30"/>
      <c r="M101" s="30"/>
      <c r="N101" s="30"/>
      <c r="O101" s="30"/>
      <c r="P101" s="30"/>
      <c r="Q101" s="30"/>
      <c r="R101" s="30"/>
    </row>
    <row r="102" spans="2:18" x14ac:dyDescent="0.3">
      <c r="B102" s="30"/>
      <c r="C102" s="30"/>
      <c r="D102" s="30"/>
      <c r="E102" s="30"/>
      <c r="F102" s="30"/>
      <c r="G102" s="30"/>
      <c r="H102" s="30"/>
      <c r="I102" s="30"/>
      <c r="J102" s="30"/>
      <c r="K102" s="30"/>
      <c r="L102" s="30"/>
      <c r="M102" s="30"/>
      <c r="N102" s="30"/>
      <c r="O102" s="30"/>
      <c r="P102" s="30"/>
      <c r="Q102" s="30"/>
      <c r="R102" s="30"/>
    </row>
    <row r="103" spans="2:18" x14ac:dyDescent="0.3">
      <c r="B103" s="30"/>
      <c r="C103" s="30"/>
      <c r="D103" s="30"/>
      <c r="E103" s="30"/>
      <c r="F103" s="30"/>
      <c r="G103" s="30"/>
      <c r="H103" s="30"/>
      <c r="I103" s="30"/>
      <c r="J103" s="30"/>
      <c r="K103" s="30"/>
      <c r="L103" s="30"/>
      <c r="M103" s="30"/>
      <c r="N103" s="30"/>
      <c r="O103" s="30"/>
      <c r="P103" s="30"/>
      <c r="Q103" s="30"/>
      <c r="R103" s="30"/>
    </row>
    <row r="104" spans="2:18" x14ac:dyDescent="0.3">
      <c r="B104" s="30"/>
      <c r="C104" s="30"/>
      <c r="D104" s="30"/>
      <c r="E104" s="30"/>
      <c r="F104" s="30"/>
      <c r="G104" s="30"/>
      <c r="H104" s="30"/>
      <c r="I104" s="30"/>
      <c r="J104" s="30"/>
      <c r="K104" s="30"/>
      <c r="L104" s="30"/>
      <c r="M104" s="30"/>
      <c r="N104" s="30"/>
      <c r="O104" s="30"/>
      <c r="P104" s="30"/>
      <c r="Q104" s="30"/>
      <c r="R104" s="30"/>
    </row>
    <row r="105" spans="2:18" x14ac:dyDescent="0.3">
      <c r="B105" s="30"/>
      <c r="C105" s="30"/>
      <c r="D105" s="30"/>
      <c r="E105" s="30"/>
      <c r="F105" s="30"/>
      <c r="G105" s="30"/>
      <c r="H105" s="30"/>
      <c r="I105" s="30"/>
      <c r="J105" s="30"/>
      <c r="K105" s="30"/>
      <c r="L105" s="30"/>
      <c r="M105" s="30"/>
      <c r="N105" s="30"/>
      <c r="O105" s="30"/>
      <c r="P105" s="30"/>
      <c r="Q105" s="30"/>
      <c r="R105" s="30"/>
    </row>
    <row r="106" spans="2:18" x14ac:dyDescent="0.3">
      <c r="B106" s="30"/>
      <c r="C106" s="30"/>
      <c r="D106" s="30"/>
      <c r="E106" s="30"/>
      <c r="F106" s="30"/>
      <c r="G106" s="30"/>
      <c r="H106" s="30"/>
      <c r="I106" s="30"/>
      <c r="J106" s="30"/>
      <c r="K106" s="30"/>
      <c r="L106" s="30"/>
      <c r="M106" s="30"/>
      <c r="N106" s="30"/>
      <c r="O106" s="30"/>
      <c r="P106" s="30"/>
      <c r="Q106" s="30"/>
      <c r="R106" s="30"/>
    </row>
    <row r="107" spans="2:18" x14ac:dyDescent="0.3">
      <c r="B107" s="30"/>
      <c r="C107" s="30"/>
      <c r="D107" s="30"/>
      <c r="E107" s="30"/>
      <c r="F107" s="30"/>
      <c r="G107" s="30"/>
      <c r="H107" s="30"/>
      <c r="I107" s="30"/>
      <c r="J107" s="30"/>
      <c r="K107" s="30"/>
      <c r="L107" s="30"/>
      <c r="M107" s="30"/>
      <c r="N107" s="30"/>
      <c r="O107" s="30"/>
      <c r="P107" s="30"/>
      <c r="Q107" s="30"/>
      <c r="R107" s="30"/>
    </row>
    <row r="108" spans="2:18" x14ac:dyDescent="0.3">
      <c r="B108" s="30"/>
      <c r="C108" s="30"/>
      <c r="D108" s="30"/>
      <c r="E108" s="30"/>
      <c r="F108" s="30"/>
      <c r="G108" s="30"/>
      <c r="H108" s="30"/>
      <c r="I108" s="30"/>
      <c r="J108" s="30"/>
      <c r="K108" s="30"/>
      <c r="L108" s="30"/>
      <c r="M108" s="30"/>
      <c r="N108" s="30"/>
      <c r="O108" s="30"/>
      <c r="P108" s="30"/>
      <c r="Q108" s="30"/>
      <c r="R108" s="30"/>
    </row>
    <row r="109" spans="2:18" x14ac:dyDescent="0.3">
      <c r="B109" s="30"/>
      <c r="C109" s="30"/>
      <c r="D109" s="30"/>
      <c r="E109" s="30"/>
      <c r="F109" s="30"/>
      <c r="G109" s="30"/>
      <c r="H109" s="30"/>
      <c r="I109" s="30"/>
      <c r="J109" s="30"/>
      <c r="K109" s="30"/>
      <c r="L109" s="30"/>
      <c r="M109" s="30"/>
      <c r="N109" s="30"/>
      <c r="O109" s="30"/>
      <c r="P109" s="30"/>
      <c r="Q109" s="30"/>
      <c r="R109" s="30"/>
    </row>
    <row r="110" spans="2:18" x14ac:dyDescent="0.3">
      <c r="B110" s="30"/>
      <c r="C110" s="30"/>
      <c r="D110" s="30"/>
      <c r="E110" s="30"/>
      <c r="F110" s="30"/>
      <c r="G110" s="30"/>
      <c r="H110" s="30"/>
      <c r="I110" s="30"/>
      <c r="J110" s="30"/>
      <c r="K110" s="30"/>
      <c r="L110" s="30"/>
      <c r="M110" s="30"/>
      <c r="N110" s="30"/>
      <c r="O110" s="30"/>
      <c r="P110" s="30"/>
      <c r="Q110" s="30"/>
      <c r="R110" s="30"/>
    </row>
    <row r="111" spans="2:18" x14ac:dyDescent="0.3">
      <c r="B111" s="30"/>
      <c r="C111" s="30"/>
      <c r="D111" s="30"/>
      <c r="E111" s="30"/>
      <c r="F111" s="30"/>
      <c r="G111" s="30"/>
      <c r="H111" s="30"/>
      <c r="I111" s="30"/>
      <c r="J111" s="30"/>
      <c r="K111" s="30"/>
      <c r="L111" s="30"/>
      <c r="M111" s="30"/>
      <c r="N111" s="30"/>
      <c r="O111" s="30"/>
      <c r="P111" s="30"/>
      <c r="Q111" s="30"/>
      <c r="R111" s="30"/>
    </row>
    <row r="112" spans="2:18" x14ac:dyDescent="0.3">
      <c r="B112" s="30"/>
      <c r="C112" s="30"/>
      <c r="D112" s="30"/>
      <c r="E112" s="30"/>
      <c r="F112" s="30"/>
      <c r="G112" s="30"/>
      <c r="H112" s="30"/>
      <c r="I112" s="30"/>
      <c r="J112" s="30"/>
      <c r="K112" s="30"/>
      <c r="L112" s="30"/>
      <c r="M112" s="30"/>
      <c r="N112" s="30"/>
      <c r="O112" s="30"/>
      <c r="P112" s="30"/>
      <c r="Q112" s="30"/>
      <c r="R112" s="30"/>
    </row>
    <row r="113" spans="2:18" x14ac:dyDescent="0.3">
      <c r="B113" s="30"/>
      <c r="C113" s="30"/>
      <c r="D113" s="30"/>
      <c r="E113" s="30"/>
      <c r="F113" s="30"/>
      <c r="G113" s="30"/>
      <c r="H113" s="30"/>
      <c r="I113" s="30"/>
      <c r="J113" s="30"/>
      <c r="K113" s="30"/>
      <c r="L113" s="30"/>
      <c r="M113" s="30"/>
      <c r="N113" s="30"/>
      <c r="O113" s="30"/>
      <c r="P113" s="30"/>
      <c r="Q113" s="30"/>
      <c r="R113" s="30"/>
    </row>
    <row r="114" spans="2:18" x14ac:dyDescent="0.3">
      <c r="B114" s="30"/>
      <c r="C114" s="30"/>
      <c r="D114" s="30"/>
      <c r="E114" s="30"/>
      <c r="F114" s="30"/>
      <c r="G114" s="30"/>
      <c r="H114" s="30"/>
      <c r="I114" s="30"/>
      <c r="J114" s="30"/>
      <c r="K114" s="30"/>
      <c r="L114" s="30"/>
      <c r="M114" s="30"/>
      <c r="N114" s="30"/>
      <c r="O114" s="30"/>
      <c r="P114" s="30"/>
      <c r="Q114" s="30"/>
      <c r="R114" s="30"/>
    </row>
    <row r="115" spans="2:18" x14ac:dyDescent="0.3">
      <c r="B115" s="30"/>
      <c r="C115" s="30"/>
      <c r="D115" s="30"/>
      <c r="E115" s="30"/>
      <c r="F115" s="30"/>
      <c r="G115" s="30"/>
      <c r="H115" s="30"/>
      <c r="I115" s="30"/>
      <c r="J115" s="30"/>
      <c r="K115" s="30"/>
      <c r="L115" s="30"/>
      <c r="M115" s="30"/>
      <c r="N115" s="30"/>
      <c r="O115" s="30"/>
      <c r="P115" s="30"/>
      <c r="Q115" s="30"/>
      <c r="R115" s="30"/>
    </row>
    <row r="116" spans="2:18" x14ac:dyDescent="0.3">
      <c r="B116" s="30"/>
      <c r="C116" s="30"/>
      <c r="D116" s="30"/>
      <c r="E116" s="30"/>
      <c r="F116" s="30"/>
      <c r="G116" s="30"/>
      <c r="H116" s="30"/>
      <c r="I116" s="30"/>
      <c r="J116" s="30"/>
      <c r="K116" s="30"/>
      <c r="L116" s="30"/>
      <c r="M116" s="30"/>
      <c r="N116" s="30"/>
      <c r="O116" s="30"/>
      <c r="P116" s="30"/>
      <c r="Q116" s="30"/>
      <c r="R116" s="30"/>
    </row>
    <row r="117" spans="2:18" x14ac:dyDescent="0.3">
      <c r="B117" s="30"/>
      <c r="C117" s="30"/>
      <c r="D117" s="30"/>
      <c r="E117" s="30"/>
      <c r="F117" s="30"/>
      <c r="G117" s="30"/>
      <c r="H117" s="30"/>
      <c r="I117" s="30"/>
      <c r="J117" s="30"/>
      <c r="K117" s="30"/>
      <c r="L117" s="30"/>
      <c r="M117" s="30"/>
      <c r="N117" s="30"/>
      <c r="O117" s="30"/>
      <c r="P117" s="30"/>
      <c r="Q117" s="30"/>
      <c r="R117" s="30"/>
    </row>
    <row r="118" spans="2:18" x14ac:dyDescent="0.3">
      <c r="B118" s="30"/>
      <c r="C118" s="30"/>
      <c r="D118" s="30"/>
      <c r="E118" s="30"/>
      <c r="F118" s="30"/>
      <c r="G118" s="30"/>
      <c r="H118" s="30"/>
      <c r="I118" s="30"/>
      <c r="J118" s="30"/>
      <c r="K118" s="30"/>
      <c r="L118" s="30"/>
      <c r="M118" s="30"/>
      <c r="N118" s="30"/>
      <c r="O118" s="30"/>
      <c r="P118" s="30"/>
      <c r="Q118" s="30"/>
      <c r="R118" s="30"/>
    </row>
    <row r="119" spans="2:18" x14ac:dyDescent="0.3">
      <c r="B119" s="30"/>
      <c r="C119" s="30"/>
      <c r="D119" s="30"/>
      <c r="E119" s="30"/>
      <c r="F119" s="30"/>
      <c r="G119" s="30"/>
      <c r="H119" s="30"/>
      <c r="I119" s="30"/>
      <c r="J119" s="30"/>
      <c r="K119" s="30"/>
      <c r="L119" s="30"/>
      <c r="M119" s="30"/>
      <c r="N119" s="30"/>
      <c r="O119" s="30"/>
      <c r="P119" s="30"/>
      <c r="Q119" s="30"/>
      <c r="R119" s="30"/>
    </row>
    <row r="120" spans="2:18" x14ac:dyDescent="0.3">
      <c r="B120" s="30"/>
      <c r="C120" s="30"/>
      <c r="D120" s="30"/>
      <c r="E120" s="30"/>
      <c r="F120" s="30"/>
      <c r="G120" s="30"/>
      <c r="H120" s="30"/>
      <c r="I120" s="30"/>
      <c r="J120" s="30"/>
      <c r="K120" s="30"/>
      <c r="L120" s="30"/>
      <c r="M120" s="30"/>
      <c r="N120" s="30"/>
      <c r="O120" s="30"/>
      <c r="P120" s="30"/>
      <c r="Q120" s="30"/>
      <c r="R120" s="30"/>
    </row>
    <row r="121" spans="2:18" x14ac:dyDescent="0.3">
      <c r="B121" s="30"/>
      <c r="C121" s="30"/>
      <c r="D121" s="30"/>
      <c r="E121" s="30"/>
      <c r="F121" s="30"/>
      <c r="G121" s="30"/>
      <c r="H121" s="30"/>
      <c r="I121" s="30"/>
      <c r="J121" s="30"/>
      <c r="K121" s="30"/>
      <c r="L121" s="30"/>
      <c r="M121" s="30"/>
      <c r="N121" s="30"/>
      <c r="O121" s="30"/>
      <c r="P121" s="30"/>
      <c r="Q121" s="30"/>
      <c r="R121" s="30"/>
    </row>
    <row r="122" spans="2:18" x14ac:dyDescent="0.3">
      <c r="B122" s="30"/>
      <c r="C122" s="30"/>
      <c r="D122" s="30"/>
      <c r="E122" s="30"/>
      <c r="F122" s="30"/>
      <c r="G122" s="30"/>
      <c r="H122" s="30"/>
      <c r="I122" s="30"/>
      <c r="J122" s="30"/>
      <c r="K122" s="30"/>
      <c r="L122" s="30"/>
      <c r="M122" s="30"/>
      <c r="N122" s="30"/>
      <c r="O122" s="30"/>
      <c r="P122" s="30"/>
      <c r="Q122" s="30"/>
      <c r="R122" s="30"/>
    </row>
    <row r="123" spans="2:18" x14ac:dyDescent="0.3">
      <c r="B123" s="30"/>
      <c r="C123" s="30"/>
      <c r="D123" s="30"/>
      <c r="E123" s="30"/>
      <c r="F123" s="30"/>
      <c r="G123" s="30"/>
      <c r="H123" s="30"/>
      <c r="I123" s="30"/>
      <c r="J123" s="30"/>
      <c r="K123" s="30"/>
      <c r="L123" s="30"/>
      <c r="M123" s="30"/>
      <c r="N123" s="30"/>
      <c r="O123" s="30"/>
      <c r="P123" s="30"/>
      <c r="Q123" s="30"/>
      <c r="R123" s="30"/>
    </row>
    <row r="124" spans="2:18" x14ac:dyDescent="0.3">
      <c r="B124" s="30"/>
      <c r="C124" s="30"/>
      <c r="D124" s="30"/>
      <c r="E124" s="30"/>
      <c r="F124" s="30"/>
      <c r="G124" s="30"/>
      <c r="H124" s="30"/>
      <c r="I124" s="30"/>
      <c r="J124" s="30"/>
      <c r="K124" s="30"/>
      <c r="L124" s="30"/>
      <c r="M124" s="30"/>
      <c r="N124" s="30"/>
      <c r="O124" s="30"/>
      <c r="P124" s="30"/>
      <c r="Q124" s="30"/>
      <c r="R124" s="30"/>
    </row>
    <row r="125" spans="2:18" x14ac:dyDescent="0.3">
      <c r="B125" s="30"/>
      <c r="C125" s="30"/>
      <c r="D125" s="30"/>
      <c r="E125" s="30"/>
      <c r="F125" s="30"/>
      <c r="G125" s="30"/>
      <c r="H125" s="30"/>
      <c r="I125" s="30"/>
      <c r="J125" s="30"/>
      <c r="K125" s="30"/>
      <c r="L125" s="30"/>
      <c r="M125" s="30"/>
      <c r="N125" s="30"/>
      <c r="O125" s="30"/>
      <c r="P125" s="30"/>
      <c r="Q125" s="30"/>
      <c r="R125" s="30"/>
    </row>
    <row r="126" spans="2:18" x14ac:dyDescent="0.3">
      <c r="B126" s="30"/>
      <c r="C126" s="30"/>
      <c r="D126" s="30"/>
      <c r="E126" s="30"/>
      <c r="F126" s="30"/>
      <c r="G126" s="30"/>
      <c r="H126" s="30"/>
      <c r="I126" s="30"/>
      <c r="J126" s="30"/>
      <c r="K126" s="30"/>
      <c r="L126" s="30"/>
      <c r="M126" s="30"/>
      <c r="N126" s="30"/>
      <c r="O126" s="30"/>
      <c r="P126" s="30"/>
      <c r="Q126" s="30"/>
      <c r="R126" s="30"/>
    </row>
    <row r="127" spans="2:18" x14ac:dyDescent="0.3">
      <c r="B127" s="30"/>
      <c r="C127" s="30"/>
      <c r="D127" s="30"/>
      <c r="E127" s="30"/>
      <c r="F127" s="30"/>
      <c r="G127" s="30"/>
      <c r="H127" s="30"/>
      <c r="I127" s="30"/>
      <c r="J127" s="30"/>
      <c r="K127" s="30"/>
      <c r="L127" s="30"/>
      <c r="M127" s="30"/>
      <c r="N127" s="30"/>
      <c r="O127" s="30"/>
      <c r="P127" s="30"/>
      <c r="Q127" s="30"/>
      <c r="R127" s="30"/>
    </row>
    <row r="128" spans="2:18" x14ac:dyDescent="0.3">
      <c r="B128" s="30"/>
      <c r="C128" s="30"/>
      <c r="D128" s="30"/>
      <c r="E128" s="30"/>
      <c r="F128" s="30"/>
      <c r="G128" s="30"/>
      <c r="H128" s="30"/>
      <c r="I128" s="30"/>
      <c r="J128" s="30"/>
      <c r="K128" s="30"/>
      <c r="L128" s="30"/>
      <c r="M128" s="30"/>
      <c r="N128" s="30"/>
      <c r="O128" s="30"/>
      <c r="P128" s="30"/>
      <c r="Q128" s="30"/>
      <c r="R128" s="30"/>
    </row>
    <row r="129" spans="2:18" x14ac:dyDescent="0.3">
      <c r="B129" s="30"/>
      <c r="C129" s="30"/>
      <c r="D129" s="30"/>
      <c r="E129" s="30"/>
      <c r="F129" s="30"/>
      <c r="G129" s="30"/>
      <c r="H129" s="30"/>
      <c r="I129" s="30"/>
      <c r="J129" s="30"/>
      <c r="K129" s="30"/>
      <c r="L129" s="30"/>
      <c r="M129" s="30"/>
      <c r="N129" s="30"/>
      <c r="O129" s="30"/>
      <c r="P129" s="30"/>
      <c r="Q129" s="30"/>
      <c r="R129" s="30"/>
    </row>
    <row r="130" spans="2:18" x14ac:dyDescent="0.3">
      <c r="B130" s="30"/>
      <c r="C130" s="30"/>
      <c r="D130" s="30"/>
      <c r="E130" s="30"/>
      <c r="F130" s="30"/>
      <c r="G130" s="30"/>
      <c r="H130" s="30"/>
      <c r="I130" s="30"/>
      <c r="J130" s="30"/>
      <c r="K130" s="30"/>
      <c r="L130" s="30"/>
      <c r="M130" s="30"/>
      <c r="N130" s="30"/>
      <c r="O130" s="30"/>
      <c r="P130" s="30"/>
      <c r="Q130" s="30"/>
      <c r="R130" s="30"/>
    </row>
    <row r="131" spans="2:18" x14ac:dyDescent="0.3">
      <c r="B131" s="30"/>
      <c r="C131" s="30"/>
      <c r="D131" s="30"/>
      <c r="E131" s="30"/>
      <c r="F131" s="30"/>
      <c r="G131" s="30"/>
      <c r="H131" s="30"/>
      <c r="I131" s="30"/>
      <c r="J131" s="30"/>
      <c r="K131" s="30"/>
      <c r="L131" s="30"/>
      <c r="M131" s="30"/>
      <c r="N131" s="30"/>
      <c r="O131" s="30"/>
      <c r="P131" s="30"/>
      <c r="Q131" s="30"/>
      <c r="R131" s="30"/>
    </row>
    <row r="132" spans="2:18" x14ac:dyDescent="0.3">
      <c r="B132" s="30"/>
      <c r="C132" s="30"/>
      <c r="D132" s="30"/>
      <c r="E132" s="30"/>
      <c r="F132" s="30"/>
      <c r="G132" s="30"/>
      <c r="H132" s="30"/>
      <c r="I132" s="30"/>
      <c r="J132" s="30"/>
      <c r="K132" s="30"/>
      <c r="L132" s="30"/>
      <c r="M132" s="30"/>
      <c r="N132" s="30"/>
      <c r="O132" s="30"/>
      <c r="P132" s="30"/>
      <c r="Q132" s="30"/>
      <c r="R132" s="30"/>
    </row>
    <row r="133" spans="2:18" x14ac:dyDescent="0.3">
      <c r="B133" s="30"/>
      <c r="C133" s="30"/>
      <c r="D133" s="30"/>
      <c r="E133" s="30"/>
      <c r="F133" s="30"/>
      <c r="G133" s="30"/>
      <c r="H133" s="30"/>
      <c r="I133" s="30"/>
      <c r="J133" s="30"/>
      <c r="K133" s="30"/>
      <c r="L133" s="30"/>
      <c r="M133" s="30"/>
      <c r="N133" s="30"/>
      <c r="O133" s="30"/>
      <c r="P133" s="30"/>
      <c r="Q133" s="30"/>
      <c r="R133" s="30"/>
    </row>
    <row r="134" spans="2:18" x14ac:dyDescent="0.3">
      <c r="B134" s="30"/>
      <c r="C134" s="30"/>
      <c r="D134" s="30"/>
      <c r="E134" s="30"/>
      <c r="F134" s="30"/>
      <c r="G134" s="30"/>
      <c r="H134" s="30"/>
      <c r="I134" s="30"/>
      <c r="J134" s="30"/>
      <c r="K134" s="30"/>
      <c r="L134" s="30"/>
      <c r="M134" s="30"/>
      <c r="N134" s="30"/>
      <c r="O134" s="30"/>
      <c r="P134" s="30"/>
      <c r="Q134" s="30"/>
      <c r="R134" s="30"/>
    </row>
    <row r="135" spans="2:18" x14ac:dyDescent="0.3">
      <c r="B135" s="30"/>
      <c r="C135" s="30"/>
      <c r="D135" s="30"/>
      <c r="E135" s="30"/>
      <c r="F135" s="30"/>
      <c r="G135" s="30"/>
      <c r="H135" s="30"/>
      <c r="I135" s="30"/>
      <c r="J135" s="30"/>
      <c r="K135" s="30"/>
      <c r="L135" s="30"/>
      <c r="M135" s="30"/>
      <c r="N135" s="30"/>
      <c r="O135" s="30"/>
      <c r="P135" s="30"/>
      <c r="Q135" s="30"/>
      <c r="R135" s="30"/>
    </row>
    <row r="136" spans="2:18" x14ac:dyDescent="0.3">
      <c r="B136" s="30"/>
      <c r="C136" s="30"/>
      <c r="D136" s="30"/>
      <c r="E136" s="30"/>
      <c r="F136" s="30"/>
      <c r="G136" s="30"/>
      <c r="H136" s="30"/>
      <c r="I136" s="30"/>
      <c r="J136" s="30"/>
      <c r="K136" s="30"/>
      <c r="L136" s="30"/>
      <c r="M136" s="30"/>
      <c r="N136" s="30"/>
      <c r="O136" s="30"/>
      <c r="P136" s="30"/>
      <c r="Q136" s="30"/>
      <c r="R136" s="30"/>
    </row>
    <row r="137" spans="2:18" x14ac:dyDescent="0.3">
      <c r="B137" s="30"/>
      <c r="C137" s="30"/>
      <c r="D137" s="30"/>
      <c r="E137" s="30"/>
      <c r="F137" s="30"/>
      <c r="G137" s="30"/>
      <c r="H137" s="30"/>
      <c r="I137" s="30"/>
      <c r="J137" s="30"/>
      <c r="K137" s="30"/>
      <c r="L137" s="30"/>
      <c r="M137" s="30"/>
      <c r="N137" s="30"/>
      <c r="O137" s="30"/>
      <c r="P137" s="30"/>
      <c r="Q137" s="30"/>
      <c r="R137" s="30"/>
    </row>
    <row r="138" spans="2:18" x14ac:dyDescent="0.3">
      <c r="B138" s="30"/>
      <c r="C138" s="30"/>
      <c r="D138" s="30"/>
      <c r="E138" s="30"/>
      <c r="F138" s="30"/>
      <c r="G138" s="30"/>
      <c r="H138" s="30"/>
      <c r="I138" s="30"/>
      <c r="J138" s="30"/>
      <c r="K138" s="30"/>
      <c r="L138" s="30"/>
      <c r="M138" s="30"/>
      <c r="N138" s="30"/>
      <c r="O138" s="30"/>
      <c r="P138" s="30"/>
      <c r="Q138" s="30"/>
      <c r="R138" s="30"/>
    </row>
    <row r="139" spans="2:18" x14ac:dyDescent="0.3">
      <c r="B139" s="30"/>
      <c r="C139" s="30"/>
      <c r="D139" s="30"/>
      <c r="E139" s="30"/>
      <c r="F139" s="30"/>
      <c r="G139" s="30"/>
      <c r="H139" s="30"/>
      <c r="I139" s="30"/>
      <c r="J139" s="30"/>
      <c r="K139" s="30"/>
      <c r="L139" s="30"/>
      <c r="M139" s="30"/>
      <c r="N139" s="30"/>
      <c r="O139" s="30"/>
      <c r="P139" s="30"/>
      <c r="Q139" s="30"/>
      <c r="R139" s="30"/>
    </row>
    <row r="140" spans="2:18" x14ac:dyDescent="0.3">
      <c r="B140" s="30"/>
      <c r="C140" s="30"/>
      <c r="D140" s="30"/>
      <c r="E140" s="30"/>
      <c r="F140" s="30"/>
      <c r="G140" s="30"/>
      <c r="H140" s="30"/>
      <c r="I140" s="30"/>
      <c r="J140" s="30"/>
      <c r="K140" s="30"/>
      <c r="L140" s="30"/>
      <c r="M140" s="30"/>
      <c r="N140" s="30"/>
      <c r="O140" s="30"/>
      <c r="P140" s="30"/>
      <c r="Q140" s="30"/>
      <c r="R140" s="30"/>
    </row>
    <row r="141" spans="2:18" x14ac:dyDescent="0.3">
      <c r="B141" s="30"/>
      <c r="C141" s="30"/>
      <c r="D141" s="30"/>
      <c r="E141" s="30"/>
      <c r="F141" s="30"/>
      <c r="G141" s="30"/>
      <c r="H141" s="30"/>
      <c r="I141" s="30"/>
      <c r="J141" s="30"/>
      <c r="K141" s="30"/>
      <c r="L141" s="30"/>
      <c r="M141" s="30"/>
      <c r="N141" s="30"/>
      <c r="O141" s="30"/>
      <c r="P141" s="30"/>
      <c r="Q141" s="30"/>
      <c r="R141" s="30"/>
    </row>
    <row r="142" spans="2:18" x14ac:dyDescent="0.3">
      <c r="B142" s="30"/>
      <c r="C142" s="30"/>
      <c r="D142" s="30"/>
      <c r="E142" s="30"/>
      <c r="F142" s="30"/>
      <c r="G142" s="30"/>
      <c r="H142" s="30"/>
      <c r="I142" s="30"/>
      <c r="J142" s="30"/>
      <c r="K142" s="30"/>
      <c r="L142" s="30"/>
      <c r="M142" s="30"/>
      <c r="N142" s="30"/>
      <c r="O142" s="30"/>
      <c r="P142" s="30"/>
      <c r="Q142" s="30"/>
      <c r="R142" s="30"/>
    </row>
    <row r="143" spans="2:18" x14ac:dyDescent="0.3">
      <c r="B143" s="30"/>
      <c r="C143" s="30"/>
      <c r="D143" s="30"/>
      <c r="E143" s="30"/>
      <c r="F143" s="30"/>
      <c r="G143" s="30"/>
      <c r="H143" s="30"/>
      <c r="I143" s="30"/>
      <c r="J143" s="30"/>
      <c r="K143" s="30"/>
      <c r="L143" s="30"/>
      <c r="M143" s="30"/>
      <c r="N143" s="30"/>
      <c r="O143" s="30"/>
      <c r="P143" s="30"/>
      <c r="Q143" s="30"/>
      <c r="R143" s="30"/>
    </row>
    <row r="144" spans="2:18" x14ac:dyDescent="0.3">
      <c r="B144" s="30"/>
      <c r="C144" s="30"/>
      <c r="D144" s="30"/>
      <c r="E144" s="30"/>
      <c r="F144" s="30"/>
      <c r="G144" s="30"/>
      <c r="H144" s="30"/>
      <c r="I144" s="30"/>
      <c r="J144" s="30"/>
      <c r="K144" s="30"/>
      <c r="L144" s="30"/>
      <c r="M144" s="30"/>
      <c r="N144" s="30"/>
      <c r="O144" s="30"/>
      <c r="P144" s="30"/>
      <c r="Q144" s="30"/>
      <c r="R144" s="30"/>
    </row>
    <row r="145" spans="2:18" x14ac:dyDescent="0.3">
      <c r="B145" s="30"/>
      <c r="C145" s="30"/>
      <c r="D145" s="30"/>
      <c r="E145" s="30"/>
      <c r="F145" s="30"/>
      <c r="G145" s="30"/>
      <c r="H145" s="30"/>
      <c r="I145" s="30"/>
      <c r="J145" s="30"/>
      <c r="K145" s="30"/>
      <c r="L145" s="30"/>
      <c r="M145" s="30"/>
      <c r="N145" s="30"/>
      <c r="O145" s="30"/>
      <c r="P145" s="30"/>
      <c r="Q145" s="30"/>
      <c r="R145" s="30"/>
    </row>
    <row r="146" spans="2:18" x14ac:dyDescent="0.3">
      <c r="B146" s="30"/>
      <c r="C146" s="30"/>
      <c r="D146" s="30"/>
      <c r="E146" s="30"/>
      <c r="F146" s="30"/>
      <c r="G146" s="30"/>
      <c r="H146" s="30"/>
      <c r="I146" s="30"/>
      <c r="J146" s="30"/>
      <c r="K146" s="30"/>
      <c r="L146" s="30"/>
      <c r="M146" s="30"/>
      <c r="N146" s="30"/>
      <c r="O146" s="30"/>
      <c r="P146" s="30"/>
      <c r="Q146" s="30"/>
      <c r="R146" s="30"/>
    </row>
    <row r="147" spans="2:18" x14ac:dyDescent="0.3">
      <c r="B147" s="30"/>
      <c r="C147" s="30"/>
      <c r="D147" s="30"/>
      <c r="E147" s="30"/>
      <c r="F147" s="30"/>
      <c r="G147" s="30"/>
      <c r="H147" s="30"/>
      <c r="I147" s="30"/>
      <c r="J147" s="30"/>
      <c r="K147" s="30"/>
      <c r="L147" s="30"/>
      <c r="M147" s="30"/>
      <c r="N147" s="30"/>
      <c r="O147" s="30"/>
      <c r="P147" s="30"/>
      <c r="Q147" s="30"/>
      <c r="R147" s="30"/>
    </row>
    <row r="148" spans="2:18" x14ac:dyDescent="0.3">
      <c r="B148" s="30"/>
      <c r="C148" s="30"/>
      <c r="D148" s="30"/>
      <c r="E148" s="30"/>
      <c r="F148" s="30"/>
      <c r="G148" s="30"/>
      <c r="H148" s="30"/>
      <c r="I148" s="30"/>
      <c r="J148" s="30"/>
      <c r="K148" s="30"/>
      <c r="L148" s="30"/>
      <c r="M148" s="30"/>
      <c r="N148" s="30"/>
      <c r="O148" s="30"/>
      <c r="P148" s="30"/>
      <c r="Q148" s="30"/>
      <c r="R148" s="30"/>
    </row>
    <row r="149" spans="2:18" x14ac:dyDescent="0.3">
      <c r="B149" s="30"/>
      <c r="C149" s="30"/>
      <c r="D149" s="30"/>
      <c r="E149" s="30"/>
      <c r="F149" s="30"/>
      <c r="G149" s="30"/>
      <c r="H149" s="30"/>
      <c r="I149" s="30"/>
      <c r="J149" s="30"/>
      <c r="K149" s="30"/>
      <c r="L149" s="30"/>
      <c r="M149" s="30"/>
      <c r="N149" s="30"/>
      <c r="O149" s="30"/>
      <c r="P149" s="30"/>
      <c r="Q149" s="30"/>
      <c r="R149" s="30"/>
    </row>
    <row r="150" spans="2:18" x14ac:dyDescent="0.3">
      <c r="B150" s="30"/>
      <c r="C150" s="30"/>
      <c r="D150" s="30"/>
      <c r="E150" s="30"/>
      <c r="F150" s="30"/>
      <c r="G150" s="30"/>
      <c r="H150" s="30"/>
      <c r="I150" s="30"/>
      <c r="J150" s="30"/>
      <c r="K150" s="30"/>
      <c r="L150" s="30"/>
      <c r="M150" s="30"/>
      <c r="N150" s="30"/>
      <c r="O150" s="30"/>
      <c r="P150" s="30"/>
      <c r="Q150" s="30"/>
      <c r="R150" s="30"/>
    </row>
    <row r="151" spans="2:18" x14ac:dyDescent="0.3">
      <c r="B151" s="30"/>
      <c r="C151" s="30"/>
      <c r="D151" s="30"/>
      <c r="E151" s="30"/>
      <c r="F151" s="30"/>
      <c r="G151" s="30"/>
      <c r="H151" s="30"/>
      <c r="I151" s="30"/>
      <c r="J151" s="30"/>
      <c r="K151" s="30"/>
      <c r="L151" s="30"/>
      <c r="M151" s="30"/>
      <c r="N151" s="30"/>
      <c r="O151" s="30"/>
      <c r="P151" s="30"/>
      <c r="Q151" s="30"/>
      <c r="R151" s="30"/>
    </row>
    <row r="152" spans="2:18" x14ac:dyDescent="0.3">
      <c r="B152" s="30"/>
      <c r="C152" s="30"/>
      <c r="D152" s="30"/>
      <c r="E152" s="30"/>
      <c r="F152" s="30"/>
      <c r="G152" s="30"/>
      <c r="H152" s="30"/>
      <c r="I152" s="30"/>
      <c r="J152" s="30"/>
      <c r="K152" s="30"/>
      <c r="L152" s="30"/>
      <c r="M152" s="30"/>
      <c r="N152" s="30"/>
      <c r="O152" s="30"/>
      <c r="P152" s="30"/>
      <c r="Q152" s="30"/>
      <c r="R152" s="30"/>
    </row>
    <row r="153" spans="2:18" x14ac:dyDescent="0.3">
      <c r="B153" s="30"/>
      <c r="C153" s="30"/>
      <c r="D153" s="30"/>
      <c r="E153" s="30"/>
      <c r="F153" s="30"/>
      <c r="G153" s="30"/>
      <c r="H153" s="30"/>
      <c r="I153" s="30"/>
      <c r="J153" s="30"/>
      <c r="K153" s="30"/>
      <c r="L153" s="30"/>
      <c r="M153" s="30"/>
      <c r="N153" s="30"/>
      <c r="O153" s="30"/>
      <c r="P153" s="30"/>
      <c r="Q153" s="30"/>
      <c r="R153" s="30"/>
    </row>
    <row r="154" spans="2:18" x14ac:dyDescent="0.3">
      <c r="B154" s="30"/>
      <c r="C154" s="30"/>
      <c r="D154" s="30"/>
      <c r="E154" s="30"/>
      <c r="F154" s="30"/>
      <c r="G154" s="30"/>
      <c r="H154" s="30"/>
      <c r="I154" s="30"/>
      <c r="J154" s="30"/>
      <c r="K154" s="30"/>
      <c r="L154" s="30"/>
      <c r="M154" s="30"/>
      <c r="N154" s="30"/>
      <c r="O154" s="30"/>
      <c r="P154" s="30"/>
      <c r="Q154" s="30"/>
      <c r="R154" s="30"/>
    </row>
    <row r="155" spans="2:18" x14ac:dyDescent="0.3">
      <c r="B155" s="30"/>
      <c r="C155" s="30"/>
      <c r="D155" s="30"/>
      <c r="E155" s="30"/>
      <c r="F155" s="30"/>
      <c r="G155" s="30"/>
      <c r="H155" s="30"/>
      <c r="I155" s="30"/>
      <c r="J155" s="30"/>
      <c r="K155" s="30"/>
      <c r="L155" s="30"/>
      <c r="M155" s="30"/>
      <c r="N155" s="30"/>
      <c r="O155" s="30"/>
      <c r="P155" s="30"/>
      <c r="Q155" s="30"/>
      <c r="R155" s="30"/>
    </row>
    <row r="156" spans="2:18" x14ac:dyDescent="0.3">
      <c r="B156" s="30"/>
      <c r="C156" s="30"/>
      <c r="D156" s="30"/>
      <c r="E156" s="30"/>
      <c r="F156" s="30"/>
      <c r="G156" s="30"/>
      <c r="H156" s="30"/>
      <c r="I156" s="30"/>
      <c r="J156" s="30"/>
      <c r="K156" s="30"/>
      <c r="L156" s="30"/>
      <c r="M156" s="30"/>
      <c r="N156" s="30"/>
      <c r="O156" s="30"/>
      <c r="P156" s="30"/>
      <c r="Q156" s="30"/>
      <c r="R156" s="30"/>
    </row>
    <row r="157" spans="2:18" x14ac:dyDescent="0.3">
      <c r="B157" s="30"/>
      <c r="C157" s="30"/>
      <c r="D157" s="30"/>
      <c r="E157" s="30"/>
      <c r="F157" s="30"/>
      <c r="G157" s="30"/>
      <c r="H157" s="30"/>
      <c r="I157" s="30"/>
      <c r="J157" s="30"/>
      <c r="K157" s="30"/>
      <c r="L157" s="30"/>
      <c r="M157" s="30"/>
      <c r="N157" s="30"/>
      <c r="O157" s="30"/>
      <c r="P157" s="30"/>
      <c r="Q157" s="30"/>
      <c r="R157" s="30"/>
    </row>
    <row r="158" spans="2:18" x14ac:dyDescent="0.3">
      <c r="B158" s="30"/>
      <c r="C158" s="30"/>
      <c r="D158" s="30"/>
      <c r="E158" s="30"/>
      <c r="F158" s="30"/>
      <c r="G158" s="30"/>
      <c r="H158" s="30"/>
      <c r="I158" s="30"/>
      <c r="J158" s="30"/>
      <c r="K158" s="30"/>
      <c r="L158" s="30"/>
      <c r="M158" s="30"/>
      <c r="N158" s="30"/>
      <c r="O158" s="30"/>
      <c r="P158" s="30"/>
      <c r="Q158" s="30"/>
      <c r="R158" s="30"/>
    </row>
    <row r="159" spans="2:18" x14ac:dyDescent="0.3">
      <c r="B159" s="30"/>
      <c r="C159" s="30"/>
      <c r="D159" s="30"/>
      <c r="E159" s="30"/>
      <c r="F159" s="30"/>
      <c r="G159" s="30"/>
      <c r="H159" s="30"/>
      <c r="I159" s="30"/>
      <c r="J159" s="30"/>
      <c r="K159" s="30"/>
      <c r="L159" s="30"/>
      <c r="M159" s="30"/>
      <c r="N159" s="30"/>
      <c r="O159" s="30"/>
      <c r="P159" s="30"/>
      <c r="Q159" s="30"/>
      <c r="R159" s="30"/>
    </row>
    <row r="160" spans="2:18" x14ac:dyDescent="0.3">
      <c r="B160" s="30"/>
      <c r="C160" s="30"/>
      <c r="D160" s="30"/>
      <c r="E160" s="30"/>
      <c r="F160" s="30"/>
      <c r="G160" s="30"/>
      <c r="H160" s="30"/>
      <c r="I160" s="30"/>
      <c r="J160" s="30"/>
      <c r="K160" s="30"/>
      <c r="L160" s="30"/>
      <c r="M160" s="30"/>
      <c r="N160" s="30"/>
      <c r="O160" s="30"/>
      <c r="P160" s="30"/>
      <c r="Q160" s="30"/>
      <c r="R160" s="30"/>
    </row>
    <row r="161" spans="2:18" x14ac:dyDescent="0.3">
      <c r="B161" s="30"/>
      <c r="C161" s="30"/>
      <c r="D161" s="30"/>
      <c r="E161" s="30"/>
      <c r="F161" s="30"/>
      <c r="G161" s="30"/>
      <c r="H161" s="30"/>
      <c r="I161" s="30"/>
      <c r="J161" s="30"/>
      <c r="K161" s="30"/>
      <c r="L161" s="30"/>
      <c r="M161" s="30"/>
      <c r="N161" s="30"/>
      <c r="O161" s="30"/>
      <c r="P161" s="30"/>
      <c r="Q161" s="30"/>
      <c r="R161" s="30"/>
    </row>
    <row r="162" spans="2:18" x14ac:dyDescent="0.3">
      <c r="B162" s="30"/>
      <c r="C162" s="30"/>
      <c r="D162" s="30"/>
      <c r="E162" s="30"/>
      <c r="F162" s="30"/>
      <c r="G162" s="30"/>
      <c r="H162" s="30"/>
      <c r="I162" s="30"/>
      <c r="J162" s="30"/>
      <c r="K162" s="30"/>
      <c r="L162" s="30"/>
      <c r="M162" s="30"/>
      <c r="N162" s="30"/>
      <c r="O162" s="30"/>
      <c r="P162" s="30"/>
      <c r="Q162" s="30"/>
      <c r="R162" s="30"/>
    </row>
    <row r="163" spans="2:18" x14ac:dyDescent="0.3">
      <c r="B163" s="30"/>
      <c r="C163" s="30"/>
      <c r="D163" s="30"/>
      <c r="E163" s="30"/>
      <c r="F163" s="30"/>
      <c r="G163" s="30"/>
      <c r="H163" s="30"/>
      <c r="I163" s="30"/>
      <c r="J163" s="30"/>
      <c r="K163" s="30"/>
      <c r="L163" s="30"/>
      <c r="M163" s="30"/>
      <c r="N163" s="30"/>
      <c r="O163" s="30"/>
      <c r="P163" s="30"/>
      <c r="Q163" s="30"/>
      <c r="R163" s="30"/>
    </row>
    <row r="164" spans="2:18" x14ac:dyDescent="0.3">
      <c r="B164" s="30"/>
      <c r="C164" s="30"/>
      <c r="D164" s="30"/>
      <c r="E164" s="30"/>
      <c r="F164" s="30"/>
      <c r="G164" s="30"/>
      <c r="H164" s="30"/>
      <c r="I164" s="30"/>
      <c r="J164" s="30"/>
      <c r="K164" s="30"/>
      <c r="L164" s="30"/>
      <c r="M164" s="30"/>
      <c r="N164" s="30"/>
      <c r="O164" s="30"/>
      <c r="P164" s="30"/>
      <c r="Q164" s="30"/>
      <c r="R164" s="30"/>
    </row>
    <row r="165" spans="2:18" x14ac:dyDescent="0.3">
      <c r="B165" s="30"/>
      <c r="C165" s="30"/>
      <c r="D165" s="30"/>
      <c r="E165" s="30"/>
      <c r="F165" s="30"/>
      <c r="G165" s="30"/>
      <c r="H165" s="30"/>
      <c r="I165" s="30"/>
      <c r="J165" s="30"/>
      <c r="K165" s="30"/>
      <c r="L165" s="30"/>
      <c r="M165" s="30"/>
      <c r="N165" s="30"/>
      <c r="O165" s="30"/>
      <c r="P165" s="30"/>
      <c r="Q165" s="30"/>
      <c r="R165" s="30"/>
    </row>
    <row r="166" spans="2:18" x14ac:dyDescent="0.3">
      <c r="B166" s="30"/>
      <c r="C166" s="30"/>
      <c r="D166" s="30"/>
      <c r="E166" s="30"/>
      <c r="F166" s="30"/>
      <c r="G166" s="30"/>
      <c r="H166" s="30"/>
      <c r="I166" s="30"/>
      <c r="J166" s="30"/>
      <c r="K166" s="30"/>
      <c r="L166" s="30"/>
      <c r="M166" s="30"/>
      <c r="N166" s="30"/>
      <c r="O166" s="30"/>
      <c r="P166" s="30"/>
      <c r="Q166" s="30"/>
      <c r="R166" s="30"/>
    </row>
    <row r="167" spans="2:18" x14ac:dyDescent="0.3">
      <c r="B167" s="30"/>
      <c r="C167" s="30"/>
      <c r="D167" s="30"/>
      <c r="E167" s="30"/>
      <c r="F167" s="30"/>
      <c r="G167" s="30"/>
      <c r="H167" s="30"/>
      <c r="I167" s="30"/>
      <c r="J167" s="30"/>
      <c r="K167" s="30"/>
      <c r="L167" s="30"/>
      <c r="M167" s="30"/>
      <c r="N167" s="30"/>
      <c r="O167" s="30"/>
      <c r="P167" s="30"/>
      <c r="Q167" s="30"/>
      <c r="R167" s="30"/>
    </row>
    <row r="168" spans="2:18" x14ac:dyDescent="0.3">
      <c r="B168" s="30"/>
      <c r="C168" s="30"/>
      <c r="D168" s="30"/>
      <c r="E168" s="30"/>
      <c r="F168" s="30"/>
      <c r="G168" s="30"/>
      <c r="H168" s="30"/>
      <c r="I168" s="30"/>
      <c r="J168" s="30"/>
      <c r="K168" s="30"/>
      <c r="L168" s="30"/>
      <c r="M168" s="30"/>
      <c r="N168" s="30"/>
      <c r="O168" s="30"/>
      <c r="P168" s="30"/>
      <c r="Q168" s="30"/>
      <c r="R168" s="30"/>
    </row>
    <row r="169" spans="2:18" x14ac:dyDescent="0.3">
      <c r="B169" s="30"/>
      <c r="C169" s="30"/>
      <c r="D169" s="30"/>
      <c r="E169" s="30"/>
      <c r="F169" s="30"/>
      <c r="G169" s="30"/>
      <c r="H169" s="30"/>
      <c r="I169" s="30"/>
      <c r="J169" s="30"/>
      <c r="K169" s="30"/>
      <c r="L169" s="30"/>
      <c r="M169" s="30"/>
      <c r="N169" s="30"/>
      <c r="O169" s="30"/>
      <c r="P169" s="30"/>
      <c r="Q169" s="30"/>
      <c r="R169" s="30"/>
    </row>
    <row r="170" spans="2:18" x14ac:dyDescent="0.3">
      <c r="B170" s="30"/>
      <c r="C170" s="30"/>
      <c r="D170" s="30"/>
      <c r="E170" s="30"/>
      <c r="F170" s="30"/>
      <c r="G170" s="30"/>
      <c r="H170" s="30"/>
      <c r="I170" s="30"/>
      <c r="J170" s="30"/>
      <c r="K170" s="30"/>
      <c r="L170" s="30"/>
      <c r="M170" s="30"/>
      <c r="N170" s="30"/>
      <c r="O170" s="30"/>
      <c r="P170" s="30"/>
      <c r="Q170" s="30"/>
      <c r="R170" s="30"/>
    </row>
    <row r="171" spans="2:18" x14ac:dyDescent="0.3">
      <c r="B171" s="30"/>
      <c r="C171" s="30"/>
      <c r="D171" s="30"/>
      <c r="E171" s="30"/>
      <c r="F171" s="30"/>
      <c r="G171" s="30"/>
      <c r="H171" s="30"/>
      <c r="I171" s="30"/>
      <c r="J171" s="30"/>
      <c r="K171" s="30"/>
      <c r="L171" s="30"/>
      <c r="M171" s="30"/>
      <c r="N171" s="30"/>
      <c r="O171" s="30"/>
      <c r="P171" s="30"/>
      <c r="Q171" s="30"/>
      <c r="R171" s="30"/>
    </row>
    <row r="172" spans="2:18" x14ac:dyDescent="0.3">
      <c r="B172" s="30"/>
      <c r="C172" s="30"/>
      <c r="D172" s="30"/>
      <c r="E172" s="30"/>
      <c r="F172" s="30"/>
      <c r="G172" s="30"/>
      <c r="H172" s="30"/>
      <c r="I172" s="30"/>
      <c r="J172" s="30"/>
      <c r="K172" s="30"/>
      <c r="L172" s="30"/>
      <c r="M172" s="30"/>
      <c r="N172" s="30"/>
      <c r="O172" s="30"/>
      <c r="P172" s="30"/>
      <c r="Q172" s="30"/>
      <c r="R172" s="30"/>
    </row>
    <row r="173" spans="2:18" x14ac:dyDescent="0.3">
      <c r="B173" s="30"/>
      <c r="C173" s="30"/>
      <c r="D173" s="30"/>
      <c r="E173" s="30"/>
      <c r="F173" s="30"/>
      <c r="G173" s="30"/>
      <c r="H173" s="30"/>
      <c r="I173" s="30"/>
      <c r="J173" s="30"/>
      <c r="K173" s="30"/>
      <c r="L173" s="30"/>
      <c r="M173" s="30"/>
      <c r="N173" s="30"/>
      <c r="O173" s="30"/>
      <c r="P173" s="30"/>
      <c r="Q173" s="30"/>
      <c r="R173" s="30"/>
    </row>
    <row r="174" spans="2:18" x14ac:dyDescent="0.3">
      <c r="B174" s="30"/>
      <c r="C174" s="30"/>
      <c r="D174" s="30"/>
      <c r="E174" s="30"/>
      <c r="F174" s="30"/>
      <c r="G174" s="30"/>
      <c r="H174" s="30"/>
      <c r="I174" s="30"/>
      <c r="J174" s="30"/>
      <c r="K174" s="30"/>
      <c r="L174" s="30"/>
      <c r="M174" s="30"/>
      <c r="N174" s="30"/>
      <c r="O174" s="30"/>
      <c r="P174" s="30"/>
      <c r="Q174" s="30"/>
      <c r="R174" s="30"/>
    </row>
    <row r="175" spans="2:18" x14ac:dyDescent="0.3">
      <c r="B175" s="30"/>
      <c r="C175" s="30"/>
      <c r="D175" s="30"/>
      <c r="E175" s="30"/>
      <c r="F175" s="30"/>
      <c r="G175" s="30"/>
      <c r="H175" s="30"/>
      <c r="I175" s="30"/>
      <c r="J175" s="30"/>
      <c r="K175" s="30"/>
      <c r="L175" s="30"/>
      <c r="M175" s="30"/>
      <c r="N175" s="30"/>
      <c r="O175" s="30"/>
      <c r="P175" s="30"/>
      <c r="Q175" s="30"/>
      <c r="R175" s="30"/>
    </row>
    <row r="176" spans="2:18" x14ac:dyDescent="0.3">
      <c r="B176" s="30"/>
      <c r="C176" s="30"/>
      <c r="D176" s="30"/>
      <c r="E176" s="30"/>
      <c r="F176" s="30"/>
      <c r="G176" s="30"/>
      <c r="H176" s="30"/>
      <c r="I176" s="30"/>
      <c r="J176" s="30"/>
      <c r="K176" s="30"/>
      <c r="L176" s="30"/>
      <c r="M176" s="30"/>
      <c r="N176" s="30"/>
      <c r="O176" s="30"/>
      <c r="P176" s="30"/>
      <c r="Q176" s="30"/>
      <c r="R176" s="30"/>
    </row>
    <row r="177" spans="2:18" x14ac:dyDescent="0.3">
      <c r="B177" s="30"/>
      <c r="C177" s="30"/>
      <c r="D177" s="30"/>
      <c r="E177" s="30"/>
      <c r="F177" s="30"/>
      <c r="G177" s="30"/>
      <c r="H177" s="30"/>
      <c r="I177" s="30"/>
      <c r="J177" s="30"/>
      <c r="K177" s="30"/>
      <c r="L177" s="30"/>
      <c r="M177" s="30"/>
      <c r="N177" s="30"/>
      <c r="O177" s="30"/>
      <c r="P177" s="30"/>
      <c r="Q177" s="30"/>
      <c r="R177" s="30"/>
    </row>
    <row r="178" spans="2:18" x14ac:dyDescent="0.3">
      <c r="B178" s="30"/>
      <c r="C178" s="30"/>
      <c r="D178" s="30"/>
      <c r="E178" s="30"/>
      <c r="F178" s="30"/>
      <c r="G178" s="30"/>
      <c r="H178" s="30"/>
      <c r="I178" s="30"/>
      <c r="J178" s="30"/>
      <c r="K178" s="30"/>
      <c r="L178" s="30"/>
      <c r="M178" s="30"/>
      <c r="N178" s="30"/>
      <c r="O178" s="30"/>
      <c r="P178" s="30"/>
      <c r="Q178" s="30"/>
      <c r="R178" s="30"/>
    </row>
    <row r="179" spans="2:18" x14ac:dyDescent="0.3">
      <c r="B179" s="30"/>
      <c r="C179" s="30"/>
      <c r="D179" s="30"/>
      <c r="E179" s="30"/>
      <c r="F179" s="30"/>
      <c r="G179" s="30"/>
      <c r="H179" s="30"/>
      <c r="I179" s="30"/>
      <c r="J179" s="30"/>
      <c r="K179" s="30"/>
      <c r="L179" s="30"/>
      <c r="M179" s="30"/>
      <c r="N179" s="30"/>
      <c r="O179" s="30"/>
      <c r="P179" s="30"/>
      <c r="Q179" s="30"/>
      <c r="R179" s="30"/>
    </row>
    <row r="180" spans="2:18" x14ac:dyDescent="0.3">
      <c r="B180" s="30"/>
      <c r="C180" s="30"/>
      <c r="D180" s="30"/>
      <c r="E180" s="30"/>
      <c r="F180" s="30"/>
      <c r="G180" s="30"/>
      <c r="H180" s="30"/>
      <c r="I180" s="30"/>
      <c r="J180" s="30"/>
      <c r="K180" s="30"/>
      <c r="L180" s="30"/>
      <c r="M180" s="30"/>
      <c r="N180" s="30"/>
      <c r="O180" s="30"/>
      <c r="P180" s="30"/>
      <c r="Q180" s="30"/>
      <c r="R180" s="30"/>
    </row>
    <row r="181" spans="2:18" x14ac:dyDescent="0.3">
      <c r="B181" s="30"/>
      <c r="C181" s="30"/>
      <c r="D181" s="30"/>
      <c r="E181" s="30"/>
      <c r="F181" s="30"/>
      <c r="G181" s="30"/>
      <c r="H181" s="30"/>
      <c r="I181" s="30"/>
      <c r="J181" s="30"/>
      <c r="K181" s="30"/>
      <c r="L181" s="30"/>
      <c r="M181" s="30"/>
      <c r="N181" s="30"/>
      <c r="O181" s="30"/>
      <c r="P181" s="30"/>
      <c r="Q181" s="30"/>
      <c r="R181" s="30"/>
    </row>
    <row r="182" spans="2:18" x14ac:dyDescent="0.3">
      <c r="B182" s="30"/>
      <c r="C182" s="30"/>
      <c r="D182" s="30"/>
      <c r="E182" s="30"/>
      <c r="F182" s="30"/>
      <c r="G182" s="30"/>
      <c r="H182" s="30"/>
      <c r="I182" s="30"/>
      <c r="J182" s="30"/>
      <c r="K182" s="30"/>
      <c r="L182" s="30"/>
      <c r="M182" s="30"/>
      <c r="N182" s="30"/>
      <c r="O182" s="30"/>
      <c r="P182" s="30"/>
      <c r="Q182" s="30"/>
      <c r="R182" s="30"/>
    </row>
    <row r="183" spans="2:18" x14ac:dyDescent="0.3">
      <c r="B183" s="30"/>
      <c r="C183" s="30"/>
      <c r="D183" s="30"/>
      <c r="E183" s="30"/>
      <c r="F183" s="30"/>
      <c r="G183" s="30"/>
      <c r="H183" s="30"/>
      <c r="I183" s="30"/>
      <c r="J183" s="30"/>
      <c r="K183" s="30"/>
      <c r="L183" s="30"/>
      <c r="M183" s="30"/>
      <c r="N183" s="30"/>
      <c r="O183" s="30"/>
      <c r="P183" s="30"/>
      <c r="Q183" s="30"/>
      <c r="R183" s="30"/>
    </row>
    <row r="184" spans="2:18" x14ac:dyDescent="0.3">
      <c r="B184" s="30"/>
      <c r="C184" s="30"/>
      <c r="D184" s="30"/>
      <c r="E184" s="30"/>
      <c r="F184" s="30"/>
      <c r="G184" s="30"/>
      <c r="H184" s="30"/>
      <c r="I184" s="30"/>
      <c r="J184" s="30"/>
      <c r="K184" s="30"/>
      <c r="L184" s="30"/>
      <c r="M184" s="30"/>
      <c r="N184" s="30"/>
      <c r="O184" s="30"/>
      <c r="P184" s="30"/>
      <c r="Q184" s="30"/>
      <c r="R184" s="30"/>
    </row>
    <row r="185" spans="2:18" x14ac:dyDescent="0.3">
      <c r="B185" s="30"/>
      <c r="C185" s="30"/>
      <c r="D185" s="30"/>
      <c r="E185" s="30"/>
      <c r="F185" s="30"/>
      <c r="G185" s="30"/>
      <c r="H185" s="30"/>
      <c r="I185" s="30"/>
      <c r="J185" s="30"/>
      <c r="K185" s="30"/>
      <c r="L185" s="30"/>
      <c r="M185" s="30"/>
      <c r="N185" s="30"/>
      <c r="O185" s="30"/>
      <c r="P185" s="30"/>
      <c r="Q185" s="30"/>
      <c r="R185" s="30"/>
    </row>
    <row r="186" spans="2:18" x14ac:dyDescent="0.3">
      <c r="B186" s="30"/>
      <c r="C186" s="30"/>
      <c r="D186" s="30"/>
      <c r="E186" s="30"/>
      <c r="F186" s="30"/>
      <c r="G186" s="30"/>
      <c r="H186" s="30"/>
      <c r="I186" s="30"/>
      <c r="J186" s="30"/>
      <c r="K186" s="30"/>
      <c r="L186" s="30"/>
      <c r="M186" s="30"/>
      <c r="N186" s="30"/>
      <c r="O186" s="30"/>
      <c r="P186" s="30"/>
      <c r="Q186" s="30"/>
      <c r="R186" s="30"/>
    </row>
    <row r="187" spans="2:18" x14ac:dyDescent="0.3">
      <c r="B187" s="30"/>
      <c r="C187" s="30"/>
      <c r="D187" s="30"/>
      <c r="E187" s="30"/>
      <c r="F187" s="30"/>
      <c r="G187" s="30"/>
      <c r="H187" s="30"/>
      <c r="I187" s="30"/>
      <c r="J187" s="30"/>
      <c r="K187" s="30"/>
      <c r="L187" s="30"/>
      <c r="M187" s="30"/>
      <c r="N187" s="30"/>
      <c r="O187" s="30"/>
      <c r="P187" s="30"/>
      <c r="Q187" s="30"/>
      <c r="R187" s="30"/>
    </row>
    <row r="188" spans="2:18" x14ac:dyDescent="0.3">
      <c r="B188" s="30"/>
      <c r="C188" s="30"/>
      <c r="D188" s="30"/>
      <c r="E188" s="30"/>
      <c r="F188" s="30"/>
      <c r="G188" s="30"/>
      <c r="H188" s="30"/>
      <c r="I188" s="30"/>
      <c r="J188" s="30"/>
      <c r="K188" s="30"/>
      <c r="L188" s="30"/>
      <c r="M188" s="30"/>
      <c r="N188" s="30"/>
      <c r="O188" s="30"/>
      <c r="P188" s="30"/>
      <c r="Q188" s="30"/>
      <c r="R188" s="30"/>
    </row>
    <row r="189" spans="2:18" x14ac:dyDescent="0.3">
      <c r="B189" s="30"/>
      <c r="C189" s="30"/>
      <c r="D189" s="30"/>
      <c r="E189" s="30"/>
      <c r="F189" s="30"/>
      <c r="G189" s="30"/>
      <c r="H189" s="30"/>
      <c r="I189" s="30"/>
      <c r="J189" s="30"/>
      <c r="K189" s="30"/>
      <c r="L189" s="30"/>
      <c r="M189" s="30"/>
      <c r="N189" s="30"/>
      <c r="O189" s="30"/>
      <c r="P189" s="30"/>
      <c r="Q189" s="30"/>
      <c r="R189" s="30"/>
    </row>
    <row r="190" spans="2:18" x14ac:dyDescent="0.3">
      <c r="B190" s="30"/>
      <c r="C190" s="30"/>
      <c r="D190" s="30"/>
      <c r="E190" s="30"/>
      <c r="F190" s="30"/>
      <c r="G190" s="30"/>
      <c r="H190" s="30"/>
      <c r="I190" s="30"/>
      <c r="J190" s="30"/>
      <c r="K190" s="30"/>
      <c r="L190" s="30"/>
      <c r="M190" s="30"/>
      <c r="N190" s="30"/>
      <c r="O190" s="30"/>
      <c r="P190" s="30"/>
      <c r="Q190" s="30"/>
      <c r="R190" s="30"/>
    </row>
    <row r="191" spans="2:18" x14ac:dyDescent="0.3">
      <c r="B191" s="30"/>
      <c r="C191" s="30"/>
      <c r="D191" s="30"/>
      <c r="E191" s="30"/>
      <c r="F191" s="30"/>
      <c r="G191" s="30"/>
      <c r="H191" s="30"/>
      <c r="I191" s="30"/>
      <c r="J191" s="30"/>
      <c r="K191" s="30"/>
      <c r="L191" s="30"/>
      <c r="M191" s="30"/>
      <c r="N191" s="30"/>
      <c r="O191" s="30"/>
      <c r="P191" s="30"/>
      <c r="Q191" s="30"/>
      <c r="R191" s="30"/>
    </row>
    <row r="192" spans="2:18" x14ac:dyDescent="0.3">
      <c r="B192" s="30"/>
      <c r="C192" s="30"/>
      <c r="D192" s="30"/>
      <c r="E192" s="30"/>
      <c r="F192" s="30"/>
      <c r="G192" s="30"/>
      <c r="H192" s="30"/>
      <c r="I192" s="30"/>
      <c r="J192" s="30"/>
      <c r="K192" s="30"/>
      <c r="L192" s="30"/>
      <c r="M192" s="30"/>
      <c r="N192" s="30"/>
      <c r="O192" s="30"/>
      <c r="P192" s="30"/>
      <c r="Q192" s="30"/>
      <c r="R192" s="30"/>
    </row>
    <row r="193" spans="2:18" x14ac:dyDescent="0.3">
      <c r="B193" s="30"/>
      <c r="C193" s="30"/>
      <c r="D193" s="30"/>
      <c r="E193" s="30"/>
      <c r="F193" s="30"/>
      <c r="G193" s="30"/>
      <c r="H193" s="30"/>
      <c r="I193" s="30"/>
      <c r="J193" s="30"/>
      <c r="K193" s="30"/>
      <c r="L193" s="30"/>
      <c r="M193" s="30"/>
      <c r="N193" s="30"/>
      <c r="O193" s="30"/>
      <c r="P193" s="30"/>
      <c r="Q193" s="30"/>
      <c r="R193" s="30"/>
    </row>
    <row r="194" spans="2:18" x14ac:dyDescent="0.3">
      <c r="B194" s="30"/>
      <c r="C194" s="30"/>
      <c r="D194" s="30"/>
      <c r="E194" s="30"/>
      <c r="F194" s="30"/>
      <c r="G194" s="30"/>
      <c r="H194" s="30"/>
      <c r="I194" s="30"/>
      <c r="J194" s="30"/>
      <c r="K194" s="30"/>
      <c r="L194" s="30"/>
      <c r="M194" s="30"/>
      <c r="N194" s="30"/>
      <c r="O194" s="30"/>
      <c r="P194" s="30"/>
      <c r="Q194" s="30"/>
      <c r="R194" s="30"/>
    </row>
    <row r="195" spans="2:18" x14ac:dyDescent="0.3">
      <c r="B195" s="30"/>
      <c r="C195" s="30"/>
      <c r="D195" s="30"/>
      <c r="E195" s="30"/>
      <c r="F195" s="30"/>
      <c r="G195" s="30"/>
      <c r="H195" s="30"/>
      <c r="I195" s="30"/>
      <c r="J195" s="30"/>
      <c r="K195" s="30"/>
      <c r="L195" s="30"/>
      <c r="M195" s="30"/>
      <c r="N195" s="30"/>
      <c r="O195" s="30"/>
      <c r="P195" s="30"/>
      <c r="Q195" s="30"/>
      <c r="R195" s="30"/>
    </row>
    <row r="196" spans="2:18" x14ac:dyDescent="0.3">
      <c r="B196" s="30"/>
      <c r="C196" s="30"/>
      <c r="D196" s="30"/>
      <c r="E196" s="30"/>
      <c r="F196" s="30"/>
      <c r="G196" s="30"/>
      <c r="H196" s="30"/>
      <c r="I196" s="30"/>
      <c r="J196" s="30"/>
      <c r="K196" s="30"/>
      <c r="L196" s="30"/>
      <c r="M196" s="30"/>
      <c r="N196" s="30"/>
      <c r="O196" s="30"/>
      <c r="P196" s="30"/>
      <c r="Q196" s="30"/>
      <c r="R196" s="30"/>
    </row>
    <row r="197" spans="2:18" x14ac:dyDescent="0.3">
      <c r="B197" s="30"/>
      <c r="C197" s="30"/>
      <c r="D197" s="30"/>
      <c r="E197" s="30"/>
      <c r="F197" s="30"/>
      <c r="G197" s="30"/>
      <c r="H197" s="30"/>
      <c r="I197" s="30"/>
      <c r="J197" s="30"/>
      <c r="K197" s="30"/>
      <c r="L197" s="30"/>
      <c r="M197" s="30"/>
      <c r="N197" s="30"/>
      <c r="O197" s="30"/>
      <c r="P197" s="30"/>
      <c r="Q197" s="30"/>
      <c r="R197" s="30"/>
    </row>
    <row r="198" spans="2:18" x14ac:dyDescent="0.3">
      <c r="B198" s="30"/>
      <c r="C198" s="30"/>
      <c r="D198" s="30"/>
      <c r="E198" s="30"/>
      <c r="F198" s="30"/>
      <c r="G198" s="30"/>
      <c r="H198" s="30"/>
      <c r="I198" s="30"/>
      <c r="J198" s="30"/>
      <c r="K198" s="30"/>
      <c r="L198" s="30"/>
      <c r="M198" s="30"/>
      <c r="N198" s="30"/>
      <c r="O198" s="30"/>
      <c r="P198" s="30"/>
      <c r="Q198" s="30"/>
      <c r="R198" s="30"/>
    </row>
    <row r="199" spans="2:18" x14ac:dyDescent="0.3">
      <c r="B199" s="30"/>
      <c r="C199" s="30"/>
      <c r="D199" s="30"/>
      <c r="E199" s="30"/>
      <c r="F199" s="30"/>
      <c r="G199" s="30"/>
      <c r="H199" s="30"/>
      <c r="I199" s="30"/>
      <c r="J199" s="30"/>
      <c r="K199" s="30"/>
      <c r="L199" s="30"/>
      <c r="M199" s="30"/>
      <c r="N199" s="30"/>
      <c r="O199" s="30"/>
      <c r="P199" s="30"/>
      <c r="Q199" s="30"/>
      <c r="R199" s="30"/>
    </row>
    <row r="200" spans="2:18" x14ac:dyDescent="0.3">
      <c r="B200" s="30"/>
      <c r="C200" s="30"/>
      <c r="D200" s="30"/>
      <c r="E200" s="30"/>
      <c r="F200" s="30"/>
      <c r="G200" s="30"/>
      <c r="H200" s="30"/>
      <c r="I200" s="30"/>
      <c r="J200" s="30"/>
      <c r="K200" s="30"/>
      <c r="L200" s="30"/>
      <c r="M200" s="30"/>
      <c r="N200" s="30"/>
      <c r="O200" s="30"/>
      <c r="P200" s="30"/>
      <c r="Q200" s="30"/>
      <c r="R200" s="30"/>
    </row>
    <row r="201" spans="2:18" x14ac:dyDescent="0.3">
      <c r="B201" s="30"/>
      <c r="C201" s="30"/>
      <c r="D201" s="30"/>
      <c r="E201" s="30"/>
      <c r="F201" s="30"/>
      <c r="G201" s="30"/>
      <c r="H201" s="30"/>
      <c r="I201" s="30"/>
      <c r="J201" s="30"/>
      <c r="K201" s="30"/>
      <c r="L201" s="30"/>
      <c r="M201" s="30"/>
      <c r="N201" s="30"/>
      <c r="O201" s="30"/>
      <c r="P201" s="30"/>
      <c r="Q201" s="30"/>
      <c r="R201" s="30"/>
    </row>
    <row r="202" spans="2:18" x14ac:dyDescent="0.3">
      <c r="B202" s="30"/>
      <c r="C202" s="30"/>
      <c r="D202" s="30"/>
      <c r="E202" s="30"/>
      <c r="F202" s="30"/>
      <c r="G202" s="30"/>
      <c r="H202" s="30"/>
      <c r="I202" s="30"/>
      <c r="J202" s="30"/>
      <c r="K202" s="30"/>
      <c r="L202" s="30"/>
      <c r="M202" s="30"/>
      <c r="N202" s="30"/>
      <c r="O202" s="30"/>
      <c r="P202" s="30"/>
      <c r="Q202" s="30"/>
      <c r="R202" s="30"/>
    </row>
    <row r="203" spans="2:18" x14ac:dyDescent="0.3">
      <c r="B203" s="30"/>
      <c r="C203" s="30"/>
      <c r="D203" s="30"/>
      <c r="E203" s="30"/>
      <c r="F203" s="30"/>
      <c r="G203" s="30"/>
      <c r="H203" s="30"/>
      <c r="I203" s="30"/>
      <c r="J203" s="30"/>
      <c r="K203" s="30"/>
      <c r="L203" s="30"/>
      <c r="M203" s="30"/>
      <c r="N203" s="30"/>
      <c r="O203" s="30"/>
      <c r="P203" s="30"/>
      <c r="Q203" s="30"/>
      <c r="R203" s="30"/>
    </row>
    <row r="204" spans="2:18" x14ac:dyDescent="0.3">
      <c r="B204" s="30"/>
      <c r="C204" s="30"/>
      <c r="D204" s="30"/>
      <c r="E204" s="30"/>
      <c r="F204" s="30"/>
      <c r="G204" s="30"/>
      <c r="H204" s="30"/>
      <c r="I204" s="30"/>
      <c r="J204" s="30"/>
      <c r="K204" s="30"/>
      <c r="L204" s="30"/>
      <c r="M204" s="30"/>
      <c r="N204" s="30"/>
      <c r="O204" s="30"/>
      <c r="P204" s="30"/>
      <c r="Q204" s="30"/>
      <c r="R204" s="30"/>
    </row>
    <row r="205" spans="2:18" x14ac:dyDescent="0.3">
      <c r="B205" s="30"/>
      <c r="C205" s="30"/>
      <c r="D205" s="30"/>
      <c r="E205" s="30"/>
      <c r="F205" s="30"/>
      <c r="G205" s="30"/>
      <c r="H205" s="30"/>
      <c r="I205" s="30"/>
      <c r="J205" s="30"/>
      <c r="K205" s="30"/>
      <c r="L205" s="30"/>
      <c r="M205" s="30"/>
      <c r="N205" s="30"/>
      <c r="O205" s="30"/>
      <c r="P205" s="30"/>
      <c r="Q205" s="30"/>
      <c r="R205" s="30"/>
    </row>
    <row r="206" spans="2:18" x14ac:dyDescent="0.3">
      <c r="B206" s="30"/>
      <c r="C206" s="30"/>
      <c r="D206" s="30"/>
      <c r="E206" s="30"/>
      <c r="F206" s="30"/>
      <c r="G206" s="30"/>
      <c r="H206" s="30"/>
      <c r="I206" s="30"/>
      <c r="J206" s="30"/>
      <c r="K206" s="30"/>
      <c r="L206" s="30"/>
      <c r="M206" s="30"/>
      <c r="N206" s="30"/>
      <c r="O206" s="30"/>
      <c r="P206" s="30"/>
      <c r="Q206" s="30"/>
      <c r="R206" s="30"/>
    </row>
    <row r="207" spans="2:18" x14ac:dyDescent="0.3">
      <c r="B207" s="30"/>
      <c r="C207" s="30"/>
      <c r="D207" s="30"/>
      <c r="E207" s="30"/>
      <c r="F207" s="30"/>
      <c r="G207" s="30"/>
      <c r="H207" s="30"/>
      <c r="I207" s="30"/>
      <c r="J207" s="30"/>
      <c r="K207" s="30"/>
      <c r="L207" s="30"/>
      <c r="M207" s="30"/>
      <c r="N207" s="30"/>
      <c r="O207" s="30"/>
      <c r="P207" s="30"/>
      <c r="Q207" s="30"/>
      <c r="R207" s="30"/>
    </row>
    <row r="208" spans="2:18" x14ac:dyDescent="0.3">
      <c r="B208" s="30"/>
      <c r="C208" s="30"/>
      <c r="D208" s="30"/>
      <c r="E208" s="30"/>
      <c r="F208" s="30"/>
      <c r="G208" s="30"/>
      <c r="H208" s="30"/>
      <c r="I208" s="30"/>
      <c r="J208" s="30"/>
      <c r="K208" s="30"/>
      <c r="L208" s="30"/>
      <c r="M208" s="30"/>
      <c r="N208" s="30"/>
      <c r="O208" s="30"/>
      <c r="P208" s="30"/>
      <c r="Q208" s="30"/>
      <c r="R208" s="30"/>
    </row>
    <row r="209" spans="2:18" x14ac:dyDescent="0.3">
      <c r="B209" s="30"/>
      <c r="C209" s="30"/>
      <c r="D209" s="30"/>
      <c r="E209" s="30"/>
      <c r="F209" s="30"/>
      <c r="G209" s="30"/>
      <c r="H209" s="30"/>
      <c r="I209" s="30"/>
      <c r="J209" s="30"/>
      <c r="K209" s="30"/>
      <c r="L209" s="30"/>
      <c r="M209" s="30"/>
      <c r="N209" s="30"/>
      <c r="O209" s="30"/>
      <c r="P209" s="30"/>
      <c r="Q209" s="30"/>
      <c r="R209" s="30"/>
    </row>
    <row r="210" spans="2:18" x14ac:dyDescent="0.3">
      <c r="B210" s="30"/>
      <c r="C210" s="30"/>
      <c r="D210" s="30"/>
      <c r="E210" s="30"/>
      <c r="F210" s="30"/>
      <c r="G210" s="30"/>
      <c r="H210" s="30"/>
      <c r="I210" s="30"/>
      <c r="J210" s="30"/>
      <c r="K210" s="30"/>
      <c r="L210" s="30"/>
      <c r="M210" s="30"/>
      <c r="N210" s="30"/>
      <c r="O210" s="30"/>
      <c r="P210" s="30"/>
      <c r="Q210" s="30"/>
      <c r="R210" s="30"/>
    </row>
    <row r="211" spans="2:18" x14ac:dyDescent="0.3">
      <c r="B211" s="30"/>
      <c r="C211" s="30"/>
      <c r="D211" s="30"/>
      <c r="E211" s="30"/>
      <c r="F211" s="30"/>
      <c r="G211" s="30"/>
      <c r="H211" s="30"/>
      <c r="I211" s="30"/>
      <c r="J211" s="30"/>
      <c r="K211" s="30"/>
      <c r="L211" s="30"/>
      <c r="M211" s="30"/>
      <c r="N211" s="30"/>
      <c r="O211" s="30"/>
      <c r="P211" s="30"/>
      <c r="Q211" s="30"/>
      <c r="R211" s="30"/>
    </row>
    <row r="212" spans="2:18" x14ac:dyDescent="0.3">
      <c r="B212" s="30"/>
      <c r="C212" s="30"/>
      <c r="D212" s="30"/>
      <c r="E212" s="30"/>
      <c r="F212" s="30"/>
      <c r="G212" s="30"/>
      <c r="H212" s="30"/>
      <c r="I212" s="30"/>
      <c r="J212" s="30"/>
      <c r="K212" s="30"/>
      <c r="L212" s="30"/>
      <c r="M212" s="30"/>
      <c r="N212" s="30"/>
      <c r="O212" s="30"/>
      <c r="P212" s="30"/>
      <c r="Q212" s="30"/>
      <c r="R212" s="30"/>
    </row>
    <row r="213" spans="2:18" x14ac:dyDescent="0.3">
      <c r="B213" s="30"/>
      <c r="C213" s="30"/>
      <c r="D213" s="30"/>
      <c r="E213" s="30"/>
      <c r="F213" s="30"/>
      <c r="G213" s="30"/>
      <c r="H213" s="30"/>
      <c r="I213" s="30"/>
      <c r="J213" s="30"/>
      <c r="K213" s="30"/>
      <c r="L213" s="30"/>
      <c r="M213" s="30"/>
      <c r="N213" s="30"/>
      <c r="O213" s="30"/>
      <c r="P213" s="30"/>
      <c r="Q213" s="30"/>
      <c r="R213" s="30"/>
    </row>
    <row r="214" spans="2:18" x14ac:dyDescent="0.3">
      <c r="B214" s="30"/>
      <c r="C214" s="30"/>
      <c r="D214" s="30"/>
      <c r="E214" s="30"/>
      <c r="F214" s="30"/>
      <c r="G214" s="30"/>
      <c r="H214" s="30"/>
      <c r="I214" s="30"/>
      <c r="J214" s="30"/>
      <c r="K214" s="30"/>
      <c r="L214" s="30"/>
      <c r="M214" s="30"/>
      <c r="N214" s="30"/>
      <c r="O214" s="30"/>
      <c r="P214" s="30"/>
      <c r="Q214" s="30"/>
      <c r="R214" s="30"/>
    </row>
    <row r="215" spans="2:18" x14ac:dyDescent="0.3">
      <c r="B215" s="30"/>
      <c r="C215" s="30"/>
      <c r="D215" s="30"/>
      <c r="E215" s="30"/>
      <c r="F215" s="30"/>
      <c r="G215" s="30"/>
      <c r="H215" s="30"/>
      <c r="I215" s="30"/>
      <c r="J215" s="30"/>
      <c r="K215" s="30"/>
      <c r="L215" s="30"/>
      <c r="M215" s="30"/>
      <c r="N215" s="30"/>
      <c r="O215" s="30"/>
      <c r="P215" s="30"/>
      <c r="Q215" s="30"/>
      <c r="R215" s="30"/>
    </row>
    <row r="216" spans="2:18" x14ac:dyDescent="0.3">
      <c r="B216" s="30"/>
      <c r="C216" s="30"/>
      <c r="D216" s="30"/>
      <c r="E216" s="30"/>
      <c r="F216" s="30"/>
      <c r="G216" s="30"/>
      <c r="H216" s="30"/>
      <c r="I216" s="30"/>
      <c r="J216" s="30"/>
      <c r="K216" s="30"/>
      <c r="L216" s="30"/>
      <c r="M216" s="30"/>
      <c r="N216" s="30"/>
      <c r="O216" s="30"/>
      <c r="P216" s="30"/>
      <c r="Q216" s="30"/>
      <c r="R216" s="30"/>
    </row>
    <row r="217" spans="2:18" x14ac:dyDescent="0.3">
      <c r="B217" s="30"/>
      <c r="C217" s="30"/>
      <c r="D217" s="30"/>
      <c r="E217" s="30"/>
      <c r="F217" s="30"/>
      <c r="G217" s="30"/>
      <c r="H217" s="30"/>
      <c r="I217" s="30"/>
      <c r="J217" s="30"/>
      <c r="K217" s="30"/>
      <c r="L217" s="30"/>
      <c r="M217" s="30"/>
      <c r="N217" s="30"/>
      <c r="O217" s="30"/>
      <c r="P217" s="30"/>
      <c r="Q217" s="30"/>
      <c r="R217" s="30"/>
    </row>
    <row r="218" spans="2:18" x14ac:dyDescent="0.3">
      <c r="B218" s="30"/>
      <c r="C218" s="30"/>
      <c r="D218" s="30"/>
      <c r="E218" s="30"/>
      <c r="F218" s="30"/>
      <c r="G218" s="30"/>
      <c r="H218" s="30"/>
      <c r="I218" s="30"/>
      <c r="J218" s="30"/>
      <c r="K218" s="30"/>
      <c r="L218" s="30"/>
      <c r="M218" s="30"/>
      <c r="N218" s="30"/>
      <c r="O218" s="30"/>
      <c r="P218" s="30"/>
      <c r="Q218" s="30"/>
      <c r="R218" s="30"/>
    </row>
    <row r="219" spans="2:18" x14ac:dyDescent="0.3">
      <c r="B219" s="30"/>
      <c r="C219" s="30"/>
      <c r="D219" s="30"/>
      <c r="E219" s="30"/>
      <c r="F219" s="30"/>
      <c r="G219" s="30"/>
      <c r="H219" s="30"/>
      <c r="I219" s="30"/>
      <c r="J219" s="30"/>
      <c r="K219" s="30"/>
      <c r="L219" s="30"/>
      <c r="M219" s="30"/>
      <c r="N219" s="30"/>
      <c r="O219" s="30"/>
      <c r="P219" s="30"/>
      <c r="Q219" s="30"/>
      <c r="R219" s="30"/>
    </row>
    <row r="220" spans="2:18" x14ac:dyDescent="0.3">
      <c r="B220" s="30"/>
      <c r="C220" s="30"/>
      <c r="D220" s="30"/>
      <c r="E220" s="30"/>
      <c r="F220" s="30"/>
      <c r="G220" s="30"/>
      <c r="H220" s="30"/>
      <c r="I220" s="30"/>
      <c r="J220" s="30"/>
      <c r="K220" s="30"/>
      <c r="L220" s="30"/>
      <c r="M220" s="30"/>
      <c r="N220" s="30"/>
      <c r="O220" s="30"/>
      <c r="P220" s="30"/>
      <c r="Q220" s="30"/>
      <c r="R220" s="30"/>
    </row>
    <row r="221" spans="2:18" x14ac:dyDescent="0.3">
      <c r="B221" s="30"/>
      <c r="C221" s="30"/>
      <c r="D221" s="30"/>
      <c r="E221" s="30"/>
      <c r="F221" s="30"/>
      <c r="G221" s="30"/>
      <c r="H221" s="30"/>
      <c r="I221" s="30"/>
      <c r="J221" s="30"/>
      <c r="K221" s="30"/>
      <c r="L221" s="30"/>
      <c r="M221" s="30"/>
      <c r="N221" s="30"/>
      <c r="O221" s="30"/>
      <c r="P221" s="30"/>
      <c r="Q221" s="30"/>
      <c r="R221" s="30"/>
    </row>
    <row r="222" spans="2:18" x14ac:dyDescent="0.3">
      <c r="B222" s="30"/>
      <c r="C222" s="30"/>
      <c r="D222" s="30"/>
      <c r="E222" s="30"/>
      <c r="F222" s="30"/>
      <c r="G222" s="30"/>
      <c r="H222" s="30"/>
      <c r="I222" s="30"/>
      <c r="J222" s="30"/>
      <c r="K222" s="30"/>
      <c r="L222" s="30"/>
      <c r="M222" s="30"/>
      <c r="N222" s="30"/>
      <c r="O222" s="30"/>
      <c r="P222" s="30"/>
      <c r="Q222" s="30"/>
      <c r="R222" s="30"/>
    </row>
    <row r="223" spans="2:18" x14ac:dyDescent="0.3">
      <c r="B223" s="30"/>
      <c r="C223" s="30"/>
      <c r="D223" s="30"/>
      <c r="E223" s="30"/>
      <c r="F223" s="30"/>
      <c r="G223" s="30"/>
      <c r="H223" s="30"/>
      <c r="I223" s="30"/>
      <c r="J223" s="30"/>
      <c r="K223" s="30"/>
      <c r="L223" s="30"/>
      <c r="M223" s="30"/>
      <c r="N223" s="30"/>
      <c r="O223" s="30"/>
      <c r="P223" s="30"/>
      <c r="Q223" s="30"/>
      <c r="R223" s="30"/>
    </row>
    <row r="224" spans="2:18" x14ac:dyDescent="0.3">
      <c r="B224" s="30"/>
      <c r="C224" s="30"/>
      <c r="D224" s="30"/>
      <c r="E224" s="30"/>
      <c r="F224" s="30"/>
      <c r="G224" s="30"/>
      <c r="H224" s="30"/>
      <c r="I224" s="30"/>
      <c r="J224" s="30"/>
      <c r="K224" s="30"/>
      <c r="L224" s="30"/>
      <c r="M224" s="30"/>
      <c r="N224" s="30"/>
      <c r="O224" s="30"/>
      <c r="P224" s="30"/>
      <c r="Q224" s="30"/>
      <c r="R224" s="30"/>
    </row>
    <row r="225" spans="2:18" x14ac:dyDescent="0.3">
      <c r="B225" s="30"/>
      <c r="C225" s="30"/>
      <c r="D225" s="30"/>
      <c r="E225" s="30"/>
      <c r="F225" s="30"/>
      <c r="G225" s="30"/>
      <c r="H225" s="30"/>
      <c r="I225" s="30"/>
      <c r="J225" s="30"/>
      <c r="K225" s="30"/>
      <c r="L225" s="30"/>
      <c r="M225" s="30"/>
      <c r="N225" s="30"/>
      <c r="O225" s="30"/>
      <c r="P225" s="30"/>
      <c r="Q225" s="30"/>
      <c r="R225" s="30"/>
    </row>
    <row r="226" spans="2:18" x14ac:dyDescent="0.3">
      <c r="B226" s="30"/>
      <c r="C226" s="30"/>
      <c r="D226" s="30"/>
      <c r="E226" s="30"/>
      <c r="F226" s="30"/>
      <c r="G226" s="30"/>
      <c r="H226" s="30"/>
      <c r="I226" s="30"/>
      <c r="J226" s="30"/>
      <c r="K226" s="30"/>
      <c r="L226" s="30"/>
      <c r="M226" s="30"/>
      <c r="N226" s="30"/>
      <c r="O226" s="30"/>
      <c r="P226" s="30"/>
      <c r="Q226" s="30"/>
      <c r="R226" s="30"/>
    </row>
    <row r="227" spans="2:18" x14ac:dyDescent="0.3">
      <c r="B227" s="30"/>
      <c r="C227" s="30"/>
      <c r="D227" s="30"/>
      <c r="E227" s="30"/>
      <c r="F227" s="30"/>
      <c r="G227" s="30"/>
      <c r="H227" s="30"/>
      <c r="I227" s="30"/>
      <c r="J227" s="30"/>
      <c r="K227" s="30"/>
      <c r="L227" s="30"/>
      <c r="M227" s="30"/>
      <c r="N227" s="30"/>
      <c r="O227" s="30"/>
      <c r="P227" s="30"/>
      <c r="Q227" s="30"/>
      <c r="R227" s="30"/>
    </row>
    <row r="228" spans="2:18" x14ac:dyDescent="0.3">
      <c r="B228" s="30"/>
      <c r="C228" s="30"/>
      <c r="D228" s="30"/>
      <c r="E228" s="30"/>
      <c r="F228" s="30"/>
      <c r="G228" s="30"/>
      <c r="H228" s="30"/>
      <c r="I228" s="30"/>
      <c r="J228" s="30"/>
      <c r="K228" s="30"/>
      <c r="L228" s="30"/>
      <c r="M228" s="30"/>
      <c r="N228" s="30"/>
      <c r="O228" s="30"/>
      <c r="P228" s="30"/>
      <c r="Q228" s="30"/>
      <c r="R228" s="30"/>
    </row>
    <row r="229" spans="2:18" x14ac:dyDescent="0.3">
      <c r="B229" s="30"/>
      <c r="C229" s="30"/>
      <c r="D229" s="30"/>
      <c r="E229" s="30"/>
      <c r="F229" s="30"/>
      <c r="G229" s="30"/>
      <c r="H229" s="30"/>
      <c r="I229" s="30"/>
      <c r="J229" s="30"/>
      <c r="K229" s="30"/>
      <c r="L229" s="30"/>
      <c r="M229" s="30"/>
      <c r="N229" s="30"/>
      <c r="O229" s="30"/>
      <c r="P229" s="30"/>
      <c r="Q229" s="30"/>
      <c r="R229" s="30"/>
    </row>
    <row r="230" spans="2:18" x14ac:dyDescent="0.3">
      <c r="B230" s="30"/>
      <c r="C230" s="30"/>
      <c r="D230" s="30"/>
      <c r="E230" s="30"/>
      <c r="F230" s="30"/>
      <c r="G230" s="30"/>
      <c r="H230" s="30"/>
      <c r="I230" s="30"/>
      <c r="J230" s="30"/>
      <c r="K230" s="30"/>
      <c r="L230" s="30"/>
      <c r="M230" s="30"/>
      <c r="N230" s="30"/>
      <c r="O230" s="30"/>
      <c r="P230" s="30"/>
      <c r="Q230" s="30"/>
      <c r="R230" s="30"/>
    </row>
    <row r="231" spans="2:18" x14ac:dyDescent="0.3">
      <c r="B231" s="30"/>
      <c r="C231" s="30"/>
      <c r="D231" s="30"/>
      <c r="E231" s="30"/>
      <c r="F231" s="30"/>
      <c r="G231" s="30"/>
      <c r="H231" s="30"/>
      <c r="I231" s="30"/>
      <c r="J231" s="30"/>
      <c r="K231" s="30"/>
      <c r="L231" s="30"/>
      <c r="M231" s="30"/>
      <c r="N231" s="30"/>
      <c r="O231" s="30"/>
      <c r="P231" s="30"/>
      <c r="Q231" s="30"/>
      <c r="R231" s="30"/>
    </row>
    <row r="232" spans="2:18" x14ac:dyDescent="0.3">
      <c r="B232" s="30"/>
      <c r="C232" s="30"/>
      <c r="D232" s="30"/>
      <c r="E232" s="30"/>
      <c r="F232" s="30"/>
      <c r="G232" s="30"/>
      <c r="H232" s="30"/>
      <c r="I232" s="30"/>
      <c r="J232" s="30"/>
      <c r="K232" s="30"/>
      <c r="L232" s="30"/>
      <c r="M232" s="30"/>
      <c r="N232" s="30"/>
      <c r="O232" s="30"/>
      <c r="P232" s="30"/>
      <c r="Q232" s="30"/>
      <c r="R232" s="30"/>
    </row>
    <row r="233" spans="2:18" x14ac:dyDescent="0.3">
      <c r="B233" s="30"/>
      <c r="C233" s="30"/>
      <c r="D233" s="30"/>
      <c r="E233" s="30"/>
      <c r="F233" s="30"/>
      <c r="G233" s="30"/>
      <c r="H233" s="30"/>
      <c r="I233" s="30"/>
      <c r="J233" s="30"/>
      <c r="K233" s="30"/>
      <c r="L233" s="30"/>
      <c r="M233" s="30"/>
      <c r="N233" s="30"/>
      <c r="O233" s="30"/>
      <c r="P233" s="30"/>
      <c r="Q233" s="30"/>
      <c r="R233" s="30"/>
    </row>
    <row r="234" spans="2:18" x14ac:dyDescent="0.3">
      <c r="B234" s="30"/>
      <c r="C234" s="30"/>
      <c r="D234" s="30"/>
      <c r="E234" s="30"/>
      <c r="F234" s="30"/>
      <c r="G234" s="30"/>
      <c r="H234" s="30"/>
      <c r="I234" s="30"/>
      <c r="J234" s="30"/>
      <c r="K234" s="30"/>
      <c r="L234" s="30"/>
      <c r="M234" s="30"/>
      <c r="N234" s="30"/>
      <c r="O234" s="30"/>
      <c r="P234" s="30"/>
      <c r="Q234" s="30"/>
      <c r="R234" s="30"/>
    </row>
    <row r="235" spans="2:18" x14ac:dyDescent="0.3">
      <c r="B235" s="30"/>
      <c r="C235" s="30"/>
      <c r="D235" s="30"/>
      <c r="E235" s="30"/>
      <c r="F235" s="30"/>
      <c r="G235" s="30"/>
      <c r="H235" s="30"/>
      <c r="I235" s="30"/>
      <c r="J235" s="30"/>
      <c r="K235" s="30"/>
      <c r="L235" s="30"/>
      <c r="M235" s="30"/>
      <c r="N235" s="30"/>
      <c r="O235" s="30"/>
      <c r="P235" s="30"/>
      <c r="Q235" s="30"/>
      <c r="R235" s="30"/>
    </row>
    <row r="236" spans="2:18" x14ac:dyDescent="0.3">
      <c r="B236" s="30"/>
      <c r="C236" s="30"/>
      <c r="D236" s="30"/>
      <c r="E236" s="30"/>
      <c r="F236" s="30"/>
      <c r="G236" s="30"/>
      <c r="H236" s="30"/>
      <c r="I236" s="30"/>
      <c r="J236" s="30"/>
      <c r="K236" s="30"/>
      <c r="L236" s="30"/>
      <c r="M236" s="30"/>
      <c r="N236" s="30"/>
      <c r="O236" s="30"/>
      <c r="P236" s="30"/>
      <c r="Q236" s="30"/>
      <c r="R236" s="30"/>
    </row>
    <row r="237" spans="2:18" x14ac:dyDescent="0.3">
      <c r="B237" s="30"/>
      <c r="C237" s="30"/>
      <c r="D237" s="30"/>
      <c r="E237" s="30"/>
      <c r="F237" s="30"/>
      <c r="G237" s="30"/>
      <c r="H237" s="30"/>
      <c r="I237" s="30"/>
      <c r="J237" s="30"/>
      <c r="K237" s="30"/>
      <c r="L237" s="30"/>
      <c r="M237" s="30"/>
      <c r="N237" s="30"/>
      <c r="O237" s="30"/>
      <c r="P237" s="30"/>
      <c r="Q237" s="30"/>
      <c r="R237" s="30"/>
    </row>
    <row r="238" spans="2:18" x14ac:dyDescent="0.3">
      <c r="B238" s="30"/>
      <c r="C238" s="30"/>
      <c r="D238" s="30"/>
      <c r="E238" s="30"/>
      <c r="F238" s="30"/>
      <c r="G238" s="30"/>
      <c r="H238" s="30"/>
      <c r="I238" s="30"/>
      <c r="J238" s="30"/>
      <c r="K238" s="30"/>
      <c r="L238" s="30"/>
      <c r="M238" s="30"/>
      <c r="N238" s="30"/>
      <c r="O238" s="30"/>
      <c r="P238" s="30"/>
      <c r="Q238" s="30"/>
      <c r="R238" s="30"/>
    </row>
    <row r="239" spans="2:18" x14ac:dyDescent="0.3">
      <c r="B239" s="30"/>
      <c r="C239" s="30"/>
      <c r="D239" s="30"/>
      <c r="E239" s="30"/>
      <c r="F239" s="30"/>
      <c r="G239" s="30"/>
      <c r="H239" s="30"/>
      <c r="I239" s="30"/>
      <c r="J239" s="30"/>
      <c r="K239" s="30"/>
      <c r="L239" s="30"/>
      <c r="M239" s="30"/>
      <c r="N239" s="30"/>
      <c r="O239" s="30"/>
      <c r="P239" s="30"/>
      <c r="Q239" s="30"/>
      <c r="R239" s="30"/>
    </row>
    <row r="240" spans="2:18" x14ac:dyDescent="0.3">
      <c r="B240" s="30"/>
      <c r="C240" s="30"/>
      <c r="D240" s="30"/>
      <c r="E240" s="30"/>
      <c r="F240" s="30"/>
      <c r="G240" s="30"/>
      <c r="H240" s="30"/>
      <c r="I240" s="30"/>
      <c r="J240" s="30"/>
      <c r="K240" s="30"/>
      <c r="L240" s="30"/>
      <c r="M240" s="30"/>
      <c r="N240" s="30"/>
      <c r="O240" s="30"/>
      <c r="P240" s="30"/>
      <c r="Q240" s="30"/>
      <c r="R240" s="30"/>
    </row>
    <row r="241" spans="2:18" x14ac:dyDescent="0.3">
      <c r="B241" s="30"/>
      <c r="C241" s="30"/>
      <c r="D241" s="30"/>
      <c r="E241" s="30"/>
      <c r="F241" s="30"/>
      <c r="G241" s="30"/>
      <c r="H241" s="30"/>
      <c r="I241" s="30"/>
      <c r="J241" s="30"/>
      <c r="K241" s="30"/>
      <c r="L241" s="30"/>
      <c r="M241" s="30"/>
      <c r="N241" s="30"/>
      <c r="O241" s="30"/>
      <c r="P241" s="30"/>
      <c r="Q241" s="30"/>
      <c r="R241" s="30"/>
    </row>
    <row r="242" spans="2:18" x14ac:dyDescent="0.3">
      <c r="B242" s="30"/>
      <c r="C242" s="30"/>
      <c r="D242" s="30"/>
      <c r="E242" s="30"/>
      <c r="F242" s="30"/>
      <c r="G242" s="30"/>
      <c r="H242" s="30"/>
      <c r="I242" s="30"/>
      <c r="J242" s="30"/>
      <c r="K242" s="30"/>
      <c r="L242" s="30"/>
      <c r="M242" s="30"/>
      <c r="N242" s="30"/>
      <c r="O242" s="30"/>
      <c r="P242" s="30"/>
      <c r="Q242" s="30"/>
      <c r="R242" s="30"/>
    </row>
    <row r="243" spans="2:18" x14ac:dyDescent="0.3">
      <c r="B243" s="30"/>
      <c r="C243" s="30"/>
      <c r="D243" s="30"/>
      <c r="E243" s="30"/>
      <c r="F243" s="30"/>
      <c r="G243" s="30"/>
      <c r="H243" s="30"/>
      <c r="I243" s="30"/>
      <c r="J243" s="30"/>
      <c r="K243" s="30"/>
      <c r="L243" s="30"/>
      <c r="M243" s="30"/>
      <c r="N243" s="30"/>
      <c r="O243" s="30"/>
      <c r="P243" s="30"/>
      <c r="Q243" s="30"/>
      <c r="R243" s="30"/>
    </row>
    <row r="244" spans="2:18" x14ac:dyDescent="0.3">
      <c r="B244" s="30"/>
      <c r="C244" s="30"/>
      <c r="D244" s="30"/>
      <c r="E244" s="30"/>
      <c r="F244" s="30"/>
      <c r="G244" s="30"/>
      <c r="H244" s="30"/>
      <c r="I244" s="30"/>
      <c r="J244" s="30"/>
      <c r="K244" s="30"/>
      <c r="L244" s="30"/>
      <c r="M244" s="30"/>
      <c r="N244" s="30"/>
      <c r="O244" s="30"/>
      <c r="P244" s="30"/>
      <c r="Q244" s="30"/>
      <c r="R244" s="30"/>
    </row>
    <row r="245" spans="2:18" x14ac:dyDescent="0.3">
      <c r="B245" s="30"/>
      <c r="C245" s="30"/>
      <c r="D245" s="30"/>
      <c r="E245" s="30"/>
      <c r="F245" s="30"/>
      <c r="G245" s="30"/>
      <c r="H245" s="30"/>
      <c r="I245" s="30"/>
      <c r="J245" s="30"/>
      <c r="K245" s="30"/>
      <c r="L245" s="30"/>
      <c r="M245" s="30"/>
      <c r="N245" s="30"/>
      <c r="O245" s="30"/>
      <c r="P245" s="30"/>
      <c r="Q245" s="30"/>
      <c r="R245" s="30"/>
    </row>
    <row r="246" spans="2:18" x14ac:dyDescent="0.3">
      <c r="B246" s="30"/>
      <c r="C246" s="30"/>
      <c r="D246" s="30"/>
      <c r="E246" s="30"/>
      <c r="F246" s="30"/>
      <c r="G246" s="30"/>
      <c r="H246" s="30"/>
      <c r="I246" s="30"/>
      <c r="J246" s="30"/>
      <c r="K246" s="30"/>
      <c r="L246" s="30"/>
      <c r="M246" s="30"/>
      <c r="N246" s="30"/>
      <c r="O246" s="30"/>
      <c r="P246" s="30"/>
      <c r="Q246" s="30"/>
      <c r="R246" s="30"/>
    </row>
    <row r="247" spans="2:18" x14ac:dyDescent="0.3">
      <c r="B247" s="30"/>
      <c r="C247" s="30"/>
      <c r="D247" s="30"/>
      <c r="E247" s="30"/>
      <c r="F247" s="30"/>
      <c r="G247" s="30"/>
      <c r="H247" s="30"/>
      <c r="I247" s="30"/>
      <c r="J247" s="30"/>
      <c r="K247" s="30"/>
      <c r="L247" s="30"/>
      <c r="M247" s="30"/>
      <c r="N247" s="30"/>
      <c r="O247" s="30"/>
      <c r="P247" s="30"/>
      <c r="Q247" s="30"/>
      <c r="R247" s="30"/>
    </row>
    <row r="248" spans="2:18" x14ac:dyDescent="0.3">
      <c r="B248" s="30"/>
      <c r="C248" s="30"/>
      <c r="D248" s="30"/>
      <c r="E248" s="30"/>
      <c r="F248" s="30"/>
      <c r="G248" s="30"/>
      <c r="H248" s="30"/>
      <c r="I248" s="30"/>
      <c r="J248" s="30"/>
      <c r="K248" s="30"/>
      <c r="L248" s="30"/>
      <c r="M248" s="30"/>
      <c r="N248" s="30"/>
      <c r="O248" s="30"/>
      <c r="P248" s="30"/>
      <c r="Q248" s="30"/>
      <c r="R248"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36">
    <tabColor indexed="48"/>
    <outlinePr applyStyles="1" summaryBelow="0"/>
    <pageSetUpPr fitToPage="1"/>
  </sheetPr>
  <dimension ref="A2:T245"/>
  <sheetViews>
    <sheetView workbookViewId="0">
      <selection activeCell="C6" sqref="C6"/>
    </sheetView>
  </sheetViews>
  <sheetFormatPr defaultColWidth="9.109375" defaultRowHeight="13.8" outlineLevelRow="1" x14ac:dyDescent="0.3"/>
  <cols>
    <col min="1" max="1" width="66" style="26" bestFit="1" customWidth="1"/>
    <col min="2" max="3" width="18" style="27" customWidth="1"/>
    <col min="4" max="4" width="17.44140625" style="27" customWidth="1"/>
    <col min="5" max="5" width="11.44140625" style="76" bestFit="1"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Державний та гарантований державою борг України за станом на 31.08.2026</v>
      </c>
      <c r="B2" s="3"/>
      <c r="C2" s="3"/>
      <c r="D2" s="3"/>
      <c r="E2" s="3"/>
      <c r="F2" s="30"/>
      <c r="G2" s="30"/>
      <c r="H2" s="30"/>
      <c r="I2" s="30"/>
      <c r="J2" s="30"/>
      <c r="K2" s="30"/>
      <c r="L2" s="30"/>
      <c r="M2" s="30"/>
      <c r="N2" s="30"/>
      <c r="O2" s="30"/>
      <c r="P2" s="30"/>
      <c r="Q2" s="30"/>
      <c r="R2" s="30"/>
      <c r="S2" s="30"/>
      <c r="T2" s="30"/>
    </row>
    <row r="3" spans="1:20" ht="18" x14ac:dyDescent="0.35">
      <c r="A3" s="1" t="str">
        <f>IF(REPORT_LANG="UKR","(за видами відсоткових ставок)","by interest rate types")</f>
        <v>(за видами відсоткових ставок)</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млрд. одиниць</v>
      </c>
    </row>
    <row r="6" spans="1:20" s="74" customFormat="1" x14ac:dyDescent="0.3">
      <c r="A6" s="16"/>
      <c r="B6" s="156" t="str">
        <f>USD</f>
        <v>дол. США</v>
      </c>
      <c r="C6" s="156" t="str">
        <f>EUR</f>
        <v>євро</v>
      </c>
      <c r="D6" s="156" t="str">
        <f>UAH</f>
        <v>грн.</v>
      </c>
      <c r="E6" s="73" t="s">
        <v>0</v>
      </c>
      <c r="F6" s="18"/>
      <c r="G6" s="18"/>
      <c r="H6" s="18"/>
      <c r="I6" s="18"/>
      <c r="J6" s="18"/>
      <c r="K6" s="18"/>
      <c r="L6" s="18"/>
      <c r="M6" s="18"/>
      <c r="N6" s="18"/>
      <c r="O6" s="18"/>
      <c r="P6" s="18"/>
      <c r="Q6" s="18"/>
      <c r="R6" s="18"/>
      <c r="S6" s="18"/>
      <c r="T6" s="18"/>
    </row>
    <row r="7" spans="1:20" s="148" customFormat="1" ht="15.6" x14ac:dyDescent="0.3">
      <c r="A7" s="155"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7" s="132">
        <f>SUM(B8:B19)</f>
        <v>215.55073598985001</v>
      </c>
      <c r="C7" s="132">
        <f>SUM(C8:C19)</f>
        <v>185.09674296469998</v>
      </c>
      <c r="D7" s="132">
        <f>SUM(D8:D19)</f>
        <v>9602.8930637009707</v>
      </c>
      <c r="E7" s="133">
        <f>SUM(E8:E19)</f>
        <v>1.0000010000000001</v>
      </c>
    </row>
    <row r="8" spans="1:20" s="75" customFormat="1" outlineLevel="1" x14ac:dyDescent="0.3">
      <c r="A8" s="177" t="s">
        <v>133</v>
      </c>
      <c r="B8" s="175">
        <v>7.9190380398800002</v>
      </c>
      <c r="C8" s="175">
        <v>6.8002001564199999</v>
      </c>
      <c r="D8" s="175">
        <v>352.79710419514998</v>
      </c>
      <c r="E8" s="178">
        <v>3.6739000000000001E-2</v>
      </c>
    </row>
    <row r="9" spans="1:20" s="75" customFormat="1" outlineLevel="1" x14ac:dyDescent="0.3">
      <c r="A9" s="177" t="s">
        <v>134</v>
      </c>
      <c r="B9" s="175">
        <v>23.29222988375</v>
      </c>
      <c r="C9" s="175">
        <v>20.00139720272</v>
      </c>
      <c r="D9" s="175">
        <v>1037.68048743602</v>
      </c>
      <c r="E9" s="178">
        <v>0.108059</v>
      </c>
    </row>
    <row r="10" spans="1:20" s="75" customFormat="1" outlineLevel="1" x14ac:dyDescent="0.3">
      <c r="A10" s="177" t="s">
        <v>135</v>
      </c>
      <c r="B10" s="175">
        <v>1.0243711815000001</v>
      </c>
      <c r="C10" s="175">
        <v>0.87964333970999997</v>
      </c>
      <c r="D10" s="175">
        <v>45.636248321419998</v>
      </c>
      <c r="E10" s="178">
        <v>4.7520000000000001E-3</v>
      </c>
    </row>
    <row r="11" spans="1:20" outlineLevel="1" x14ac:dyDescent="0.3">
      <c r="A11" s="245" t="s">
        <v>136</v>
      </c>
      <c r="B11" s="190">
        <v>0.19161683547</v>
      </c>
      <c r="C11" s="190">
        <v>0.16454433329000001</v>
      </c>
      <c r="D11" s="190">
        <v>8.5366258286400001</v>
      </c>
      <c r="E11" s="212">
        <v>8.8900000000000003E-4</v>
      </c>
      <c r="F11" s="30"/>
      <c r="G11" s="30"/>
      <c r="H11" s="30"/>
      <c r="I11" s="30"/>
      <c r="J11" s="30"/>
      <c r="K11" s="30"/>
      <c r="L11" s="30"/>
      <c r="M11" s="30"/>
      <c r="N11" s="30"/>
      <c r="O11" s="30"/>
      <c r="P11" s="30"/>
      <c r="Q11" s="30"/>
      <c r="R11" s="30"/>
    </row>
    <row r="12" spans="1:20" outlineLevel="1" x14ac:dyDescent="0.3">
      <c r="A12" s="245" t="s">
        <v>137</v>
      </c>
      <c r="B12" s="190">
        <v>3.2586151669699999</v>
      </c>
      <c r="C12" s="190">
        <v>2.7982231246099998</v>
      </c>
      <c r="D12" s="190">
        <v>145.172935</v>
      </c>
      <c r="E12" s="212">
        <v>1.5117999999999999E-2</v>
      </c>
      <c r="F12" s="30"/>
      <c r="G12" s="30"/>
      <c r="H12" s="30"/>
      <c r="I12" s="30"/>
      <c r="J12" s="30"/>
      <c r="K12" s="30"/>
      <c r="L12" s="30"/>
      <c r="M12" s="30"/>
      <c r="N12" s="30"/>
      <c r="O12" s="30"/>
      <c r="P12" s="30"/>
      <c r="Q12" s="30"/>
      <c r="R12" s="30"/>
    </row>
    <row r="13" spans="1:20" outlineLevel="1" x14ac:dyDescent="0.3">
      <c r="A13" s="245" t="s">
        <v>138</v>
      </c>
      <c r="B13" s="190">
        <v>6.5000587677899997</v>
      </c>
      <c r="C13" s="190">
        <v>5.5817007605000004</v>
      </c>
      <c r="D13" s="190">
        <v>289.58086813455998</v>
      </c>
      <c r="E13" s="212">
        <v>3.0155999999999999E-2</v>
      </c>
      <c r="F13" s="30"/>
      <c r="G13" s="30"/>
      <c r="H13" s="30"/>
      <c r="I13" s="30"/>
      <c r="J13" s="30"/>
      <c r="K13" s="30"/>
      <c r="L13" s="30"/>
      <c r="M13" s="30"/>
      <c r="N13" s="30"/>
      <c r="O13" s="30"/>
      <c r="P13" s="30"/>
      <c r="Q13" s="30"/>
      <c r="R13" s="30"/>
    </row>
    <row r="14" spans="1:20" outlineLevel="1" x14ac:dyDescent="0.3">
      <c r="A14" s="245" t="s">
        <v>139</v>
      </c>
      <c r="B14" s="190">
        <v>19.32127082253</v>
      </c>
      <c r="C14" s="190">
        <v>16.591473384539999</v>
      </c>
      <c r="D14" s="190">
        <v>860.77227577894996</v>
      </c>
      <c r="E14" s="212">
        <v>8.9636999999999994E-2</v>
      </c>
      <c r="F14" s="30"/>
      <c r="G14" s="30"/>
      <c r="H14" s="30"/>
      <c r="I14" s="30"/>
      <c r="J14" s="30"/>
      <c r="K14" s="30"/>
      <c r="L14" s="30"/>
      <c r="M14" s="30"/>
      <c r="N14" s="30"/>
      <c r="O14" s="30"/>
      <c r="P14" s="30"/>
      <c r="Q14" s="30"/>
      <c r="R14" s="30"/>
    </row>
    <row r="15" spans="1:20" outlineLevel="1" x14ac:dyDescent="0.3">
      <c r="A15" s="245" t="s">
        <v>140</v>
      </c>
      <c r="B15" s="190">
        <v>0.24480577271000001</v>
      </c>
      <c r="C15" s="190">
        <v>0.21021849441000001</v>
      </c>
      <c r="D15" s="190">
        <v>10.906219577250001</v>
      </c>
      <c r="E15" s="212">
        <v>1.1360000000000001E-3</v>
      </c>
      <c r="F15" s="30"/>
      <c r="G15" s="30"/>
      <c r="H15" s="30"/>
      <c r="I15" s="30"/>
      <c r="J15" s="30"/>
      <c r="K15" s="30"/>
      <c r="L15" s="30"/>
      <c r="M15" s="30"/>
      <c r="N15" s="30"/>
      <c r="O15" s="30"/>
      <c r="P15" s="30"/>
      <c r="Q15" s="30"/>
      <c r="R15" s="30"/>
    </row>
    <row r="16" spans="1:20" outlineLevel="1" x14ac:dyDescent="0.3">
      <c r="A16" s="245" t="s">
        <v>141</v>
      </c>
      <c r="B16" s="190">
        <v>153.79872951925</v>
      </c>
      <c r="C16" s="190">
        <v>132.06934216849999</v>
      </c>
      <c r="D16" s="190">
        <v>6851.8102994289802</v>
      </c>
      <c r="E16" s="212">
        <v>0.71351500000000001</v>
      </c>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10">
    <tabColor indexed="48"/>
    <outlinePr applyStyles="1" summaryBelow="0"/>
    <pageSetUpPr fitToPage="1"/>
  </sheetPr>
  <dimension ref="A2:T251"/>
  <sheetViews>
    <sheetView workbookViewId="0">
      <selection activeCell="C21" sqref="C21"/>
    </sheetView>
  </sheetViews>
  <sheetFormatPr defaultColWidth="9.109375" defaultRowHeight="13.8" outlineLevelRow="2" x14ac:dyDescent="0.3"/>
  <cols>
    <col min="1" max="1" width="66" style="26" bestFit="1" customWidth="1"/>
    <col min="2" max="3" width="17.6640625" style="27" customWidth="1"/>
    <col min="4" max="4" width="17.88671875" style="27" customWidth="1"/>
    <col min="5" max="5" width="11.44140625" style="76" bestFit="1" customWidth="1"/>
    <col min="6" max="6" width="9.109375" style="26" customWidth="1"/>
    <col min="7" max="16384" width="9.109375" style="26"/>
  </cols>
  <sheetData>
    <row r="2" spans="1:20" ht="37.5" customHeight="1" x14ac:dyDescent="0.35">
      <c r="A2" s="4" t="str">
        <f>DEBT_AS_OF_DATE</f>
        <v>Державний та гарантований державою борг України
станом на 31.08.2026</v>
      </c>
      <c r="B2" s="3"/>
      <c r="C2" s="3"/>
      <c r="D2" s="3"/>
      <c r="E2" s="3"/>
      <c r="F2" s="30"/>
      <c r="G2" s="30"/>
      <c r="H2" s="30"/>
      <c r="I2" s="30"/>
      <c r="J2" s="30"/>
      <c r="K2" s="30"/>
      <c r="L2" s="30"/>
      <c r="M2" s="30"/>
      <c r="N2" s="30"/>
      <c r="O2" s="30"/>
      <c r="P2" s="30"/>
      <c r="Q2" s="30"/>
      <c r="R2" s="30"/>
      <c r="S2" s="30"/>
      <c r="T2" s="30"/>
    </row>
    <row r="3" spans="1:20" ht="18" x14ac:dyDescent="0.35">
      <c r="A3" s="1" t="str">
        <f>BY_INTEREST_RATE</f>
        <v>(за видами відсоткових ставок)</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A5" s="77"/>
      <c r="B5" s="32"/>
      <c r="C5" s="32"/>
      <c r="D5" s="32"/>
      <c r="E5" s="31" t="str">
        <f>VALVAL</f>
        <v>млрд. одиниць</v>
      </c>
    </row>
    <row r="6" spans="1:20" s="18" customFormat="1" x14ac:dyDescent="0.25">
      <c r="A6" s="78"/>
      <c r="B6" s="72" t="str">
        <f>USD</f>
        <v>дол. США</v>
      </c>
      <c r="C6" s="72" t="str">
        <f>EUR</f>
        <v>євро</v>
      </c>
      <c r="D6" s="72" t="str">
        <f>UAH</f>
        <v>грн.</v>
      </c>
      <c r="E6" s="73" t="s">
        <v>0</v>
      </c>
    </row>
    <row r="7" spans="1:20" s="143" customFormat="1" ht="15.6" x14ac:dyDescent="0.25">
      <c r="A7" s="155" t="str">
        <f>DEBT_TOTAL</f>
        <v>Загальна сума державного та гарантованого державою боргу</v>
      </c>
      <c r="B7" s="132">
        <f>SUM(B8:B18)</f>
        <v>215.55073598985001</v>
      </c>
      <c r="C7" s="132">
        <f>SUM(C8:C18)</f>
        <v>185.09674296469998</v>
      </c>
      <c r="D7" s="132">
        <f>SUM(D8:D18)</f>
        <v>9602.8930637009707</v>
      </c>
      <c r="E7" s="133">
        <f>SUM(E8:E18)</f>
        <v>1.0000010000000001</v>
      </c>
    </row>
    <row r="8" spans="1:20" s="42" customFormat="1" outlineLevel="1" x14ac:dyDescent="0.25">
      <c r="A8" s="174" t="s">
        <v>133</v>
      </c>
      <c r="B8" s="180">
        <v>7.9190380398800002</v>
      </c>
      <c r="C8" s="180">
        <v>6.8002001564199999</v>
      </c>
      <c r="D8" s="180">
        <v>352.79710419514998</v>
      </c>
      <c r="E8" s="244">
        <v>3.6739000000000001E-2</v>
      </c>
    </row>
    <row r="9" spans="1:20" s="42" customFormat="1" outlineLevel="1" x14ac:dyDescent="0.25">
      <c r="A9" s="174" t="s">
        <v>134</v>
      </c>
      <c r="B9" s="180">
        <v>23.29222988375</v>
      </c>
      <c r="C9" s="180">
        <v>20.00139720272</v>
      </c>
      <c r="D9" s="180">
        <v>1037.68048743602</v>
      </c>
      <c r="E9" s="244">
        <v>0.108059</v>
      </c>
    </row>
    <row r="10" spans="1:20" s="42" customFormat="1" outlineLevel="1" x14ac:dyDescent="0.25">
      <c r="A10" s="174" t="s">
        <v>135</v>
      </c>
      <c r="B10" s="180">
        <v>1.0243711815000001</v>
      </c>
      <c r="C10" s="180">
        <v>0.87964333970999997</v>
      </c>
      <c r="D10" s="180">
        <v>45.636248321419998</v>
      </c>
      <c r="E10" s="244">
        <v>4.7520000000000001E-3</v>
      </c>
    </row>
    <row r="11" spans="1:20" outlineLevel="1" x14ac:dyDescent="0.3">
      <c r="A11" s="253" t="s">
        <v>136</v>
      </c>
      <c r="B11" s="190">
        <v>0.19161683547</v>
      </c>
      <c r="C11" s="190">
        <v>0.16454433329000001</v>
      </c>
      <c r="D11" s="190">
        <v>8.5366258286400001</v>
      </c>
      <c r="E11" s="212">
        <v>8.8900000000000003E-4</v>
      </c>
      <c r="F11" s="30"/>
      <c r="G11" s="30"/>
      <c r="H11" s="30"/>
      <c r="I11" s="30"/>
      <c r="J11" s="30"/>
      <c r="K11" s="30"/>
      <c r="L11" s="30"/>
      <c r="M11" s="30"/>
      <c r="N11" s="30"/>
      <c r="O11" s="30"/>
      <c r="P11" s="30"/>
      <c r="Q11" s="30"/>
      <c r="R11" s="30"/>
    </row>
    <row r="12" spans="1:20" outlineLevel="1" x14ac:dyDescent="0.3">
      <c r="A12" s="253" t="s">
        <v>137</v>
      </c>
      <c r="B12" s="190">
        <v>3.2586151669699999</v>
      </c>
      <c r="C12" s="190">
        <v>2.7982231246099998</v>
      </c>
      <c r="D12" s="190">
        <v>145.172935</v>
      </c>
      <c r="E12" s="212">
        <v>1.5117999999999999E-2</v>
      </c>
      <c r="F12" s="30"/>
      <c r="G12" s="30"/>
      <c r="H12" s="30"/>
      <c r="I12" s="30"/>
      <c r="J12" s="30"/>
      <c r="K12" s="30"/>
      <c r="L12" s="30"/>
      <c r="M12" s="30"/>
      <c r="N12" s="30"/>
      <c r="O12" s="30"/>
      <c r="P12" s="30"/>
      <c r="Q12" s="30"/>
      <c r="R12" s="30"/>
    </row>
    <row r="13" spans="1:20" outlineLevel="1" x14ac:dyDescent="0.3">
      <c r="A13" s="253" t="s">
        <v>138</v>
      </c>
      <c r="B13" s="190">
        <v>6.5000587677899997</v>
      </c>
      <c r="C13" s="190">
        <v>5.5817007605000004</v>
      </c>
      <c r="D13" s="190">
        <v>289.58086813455998</v>
      </c>
      <c r="E13" s="212">
        <v>3.0155999999999999E-2</v>
      </c>
      <c r="F13" s="30"/>
      <c r="G13" s="30"/>
      <c r="H13" s="30"/>
      <c r="I13" s="30"/>
      <c r="J13" s="30"/>
      <c r="K13" s="30"/>
      <c r="L13" s="30"/>
      <c r="M13" s="30"/>
      <c r="N13" s="30"/>
      <c r="O13" s="30"/>
      <c r="P13" s="30"/>
      <c r="Q13" s="30"/>
      <c r="R13" s="30"/>
    </row>
    <row r="14" spans="1:20" outlineLevel="1" x14ac:dyDescent="0.3">
      <c r="A14" s="253" t="s">
        <v>139</v>
      </c>
      <c r="B14" s="190">
        <v>19.32127082253</v>
      </c>
      <c r="C14" s="190">
        <v>16.591473384539999</v>
      </c>
      <c r="D14" s="190">
        <v>860.77227577894996</v>
      </c>
      <c r="E14" s="212">
        <v>8.9636999999999994E-2</v>
      </c>
      <c r="F14" s="30"/>
      <c r="G14" s="30"/>
      <c r="H14" s="30"/>
      <c r="I14" s="30"/>
      <c r="J14" s="30"/>
      <c r="K14" s="30"/>
      <c r="L14" s="30"/>
      <c r="M14" s="30"/>
      <c r="N14" s="30"/>
      <c r="O14" s="30"/>
      <c r="P14" s="30"/>
      <c r="Q14" s="30"/>
      <c r="R14" s="30"/>
    </row>
    <row r="15" spans="1:20" outlineLevel="1" x14ac:dyDescent="0.3">
      <c r="A15" s="253" t="s">
        <v>140</v>
      </c>
      <c r="B15" s="190">
        <v>0.24480577271000001</v>
      </c>
      <c r="C15" s="190">
        <v>0.21021849441000001</v>
      </c>
      <c r="D15" s="190">
        <v>10.906219577250001</v>
      </c>
      <c r="E15" s="212">
        <v>1.1360000000000001E-3</v>
      </c>
      <c r="F15" s="30"/>
      <c r="G15" s="30"/>
      <c r="H15" s="30"/>
      <c r="I15" s="30"/>
      <c r="J15" s="30"/>
      <c r="K15" s="30"/>
      <c r="L15" s="30"/>
      <c r="M15" s="30"/>
      <c r="N15" s="30"/>
      <c r="O15" s="30"/>
      <c r="P15" s="30"/>
      <c r="Q15" s="30"/>
      <c r="R15" s="30"/>
    </row>
    <row r="16" spans="1:20" outlineLevel="1" x14ac:dyDescent="0.3">
      <c r="A16" s="253" t="s">
        <v>141</v>
      </c>
      <c r="B16" s="190">
        <v>153.79872951925</v>
      </c>
      <c r="C16" s="190">
        <v>132.06934216849999</v>
      </c>
      <c r="D16" s="190">
        <v>6851.8102994289802</v>
      </c>
      <c r="E16" s="212">
        <v>0.71351500000000001</v>
      </c>
      <c r="F16" s="30"/>
      <c r="G16" s="30"/>
      <c r="H16" s="30"/>
      <c r="I16" s="30"/>
      <c r="J16" s="30"/>
      <c r="K16" s="30"/>
      <c r="L16" s="30"/>
      <c r="M16" s="30"/>
      <c r="N16" s="30"/>
      <c r="O16" s="30"/>
      <c r="P16" s="30"/>
      <c r="Q16" s="30"/>
      <c r="R16" s="30"/>
    </row>
    <row r="17" spans="1:20" x14ac:dyDescent="0.3">
      <c r="A17" s="79"/>
      <c r="B17" s="29"/>
      <c r="C17" s="29"/>
      <c r="D17" s="29"/>
      <c r="E17" s="67"/>
      <c r="F17" s="30"/>
      <c r="G17" s="30"/>
      <c r="H17" s="30"/>
      <c r="I17" s="30"/>
      <c r="J17" s="30"/>
      <c r="K17" s="30"/>
      <c r="L17" s="30"/>
      <c r="M17" s="30"/>
      <c r="N17" s="30"/>
      <c r="O17" s="30"/>
      <c r="P17" s="30"/>
      <c r="Q17" s="30"/>
      <c r="R17" s="30"/>
    </row>
    <row r="18" spans="1:20" x14ac:dyDescent="0.3">
      <c r="A18" s="79"/>
      <c r="B18" s="29"/>
      <c r="C18" s="29"/>
      <c r="D18" s="29"/>
      <c r="E18" s="67"/>
      <c r="F18" s="30"/>
      <c r="G18" s="30"/>
      <c r="H18" s="30"/>
      <c r="I18" s="30"/>
      <c r="J18" s="30"/>
      <c r="K18" s="30"/>
      <c r="L18" s="30"/>
      <c r="M18" s="30"/>
      <c r="N18" s="30"/>
      <c r="O18" s="30"/>
      <c r="P18" s="30"/>
      <c r="Q18" s="30"/>
      <c r="R18" s="30"/>
    </row>
    <row r="19" spans="1:20" x14ac:dyDescent="0.3">
      <c r="A19" s="166" t="str">
        <f>INCLUDING</f>
        <v>В тому числі:</v>
      </c>
      <c r="B19" s="29"/>
      <c r="C19" s="29"/>
      <c r="D19" s="29"/>
      <c r="E19" s="67"/>
      <c r="F19" s="30"/>
      <c r="G19" s="30"/>
      <c r="H19" s="30"/>
      <c r="I19" s="30"/>
      <c r="J19" s="30"/>
      <c r="K19" s="30"/>
      <c r="L19" s="30"/>
      <c r="M19" s="30"/>
      <c r="N19" s="30"/>
      <c r="O19" s="30"/>
      <c r="P19" s="30"/>
      <c r="Q19" s="30"/>
      <c r="R19" s="30"/>
    </row>
    <row r="20" spans="1:20" x14ac:dyDescent="0.3">
      <c r="B20" s="80" t="str">
        <f>"Державний борг України за станом на " &amp; TEXT(DREPORTDATE,"dd.MM.yyyy")</f>
        <v>Державний борг України за станом на 31.08.2026</v>
      </c>
      <c r="C20" s="80"/>
      <c r="D20" s="29"/>
      <c r="E20" s="31" t="str">
        <f>VALVAL</f>
        <v>млрд. одиниць</v>
      </c>
      <c r="F20" s="30"/>
      <c r="G20" s="30"/>
      <c r="H20" s="30"/>
      <c r="I20" s="30"/>
      <c r="J20" s="30"/>
      <c r="K20" s="30"/>
      <c r="L20" s="30"/>
      <c r="M20" s="30"/>
      <c r="N20" s="30"/>
      <c r="O20" s="30"/>
      <c r="P20" s="30"/>
      <c r="Q20" s="30"/>
      <c r="R20" s="30"/>
    </row>
    <row r="21" spans="1:20" s="38" customFormat="1" x14ac:dyDescent="0.3">
      <c r="A21" s="78"/>
      <c r="B21" s="72" t="str">
        <f>USD</f>
        <v>дол. США</v>
      </c>
      <c r="C21" s="72" t="str">
        <f>EUR</f>
        <v>євро</v>
      </c>
      <c r="D21" s="72" t="str">
        <f>UAH</f>
        <v>грн.</v>
      </c>
      <c r="E21" s="73" t="s">
        <v>0</v>
      </c>
      <c r="F21" s="18"/>
      <c r="G21" s="18"/>
      <c r="H21" s="18"/>
      <c r="I21" s="18"/>
      <c r="J21" s="18"/>
      <c r="K21" s="18"/>
      <c r="L21" s="18"/>
      <c r="M21" s="18"/>
      <c r="N21" s="18"/>
      <c r="O21" s="18"/>
      <c r="P21" s="18"/>
      <c r="Q21" s="18"/>
      <c r="R21" s="18"/>
      <c r="S21" s="18"/>
      <c r="T21" s="18"/>
    </row>
    <row r="22" spans="1:20" s="147" customFormat="1" ht="14.4" x14ac:dyDescent="0.3">
      <c r="A22" s="164" t="str">
        <f>DEBT_TOTAL</f>
        <v>Загальна сума державного та гарантованого державою боргу</v>
      </c>
      <c r="B22" s="144">
        <f>B$23+B$32</f>
        <v>215.55073598985001</v>
      </c>
      <c r="C22" s="144">
        <f>C$23+C$32</f>
        <v>185.09674296470004</v>
      </c>
      <c r="D22" s="144">
        <f>D$23+D$32</f>
        <v>9602.8930637009689</v>
      </c>
      <c r="E22" s="145">
        <f>E$23+E$32</f>
        <v>1.0000009999999999</v>
      </c>
      <c r="F22" s="146"/>
      <c r="G22" s="146"/>
      <c r="H22" s="146"/>
      <c r="I22" s="146"/>
      <c r="J22" s="146"/>
      <c r="K22" s="146"/>
      <c r="L22" s="146"/>
      <c r="M22" s="146"/>
      <c r="N22" s="146"/>
      <c r="O22" s="146"/>
      <c r="P22" s="146"/>
      <c r="Q22" s="146"/>
      <c r="R22" s="146"/>
    </row>
    <row r="23" spans="1:20" s="44" customFormat="1" ht="14.4" outlineLevel="1" x14ac:dyDescent="0.3">
      <c r="A23" s="249" t="s">
        <v>1</v>
      </c>
      <c r="B23" s="250">
        <f>SUM(B$24:B$31)</f>
        <v>209.76376640347002</v>
      </c>
      <c r="C23" s="250">
        <f>SUM(C$24:C$31)</f>
        <v>180.12738288730003</v>
      </c>
      <c r="D23" s="250">
        <f>SUM(D$24:D$31)</f>
        <v>9345.080675142719</v>
      </c>
      <c r="E23" s="251">
        <f>SUM(E$24:E$31)</f>
        <v>0.97315299999999993</v>
      </c>
      <c r="F23" s="43"/>
      <c r="G23" s="43"/>
      <c r="H23" s="43"/>
      <c r="I23" s="43"/>
      <c r="J23" s="43"/>
      <c r="K23" s="43"/>
      <c r="L23" s="43"/>
      <c r="M23" s="43"/>
      <c r="N23" s="43"/>
      <c r="O23" s="43"/>
      <c r="P23" s="43"/>
      <c r="Q23" s="43"/>
      <c r="R23" s="43"/>
    </row>
    <row r="24" spans="1:20" s="44" customFormat="1" outlineLevel="2" x14ac:dyDescent="0.3">
      <c r="A24" s="252" t="s">
        <v>133</v>
      </c>
      <c r="B24" s="175">
        <v>6.5707844532299999</v>
      </c>
      <c r="C24" s="175">
        <v>5.6424339978500004</v>
      </c>
      <c r="D24" s="175">
        <v>292.73173278207003</v>
      </c>
      <c r="E24" s="178">
        <v>3.0484000000000001E-2</v>
      </c>
      <c r="F24" s="43"/>
      <c r="G24" s="43"/>
      <c r="H24" s="43"/>
      <c r="I24" s="43"/>
      <c r="J24" s="43"/>
      <c r="K24" s="43"/>
      <c r="L24" s="43"/>
      <c r="M24" s="43"/>
      <c r="N24" s="43"/>
      <c r="O24" s="43"/>
      <c r="P24" s="43"/>
      <c r="Q24" s="43"/>
      <c r="R24" s="43"/>
    </row>
    <row r="25" spans="1:20" s="44" customFormat="1" outlineLevel="2" x14ac:dyDescent="0.3">
      <c r="A25" s="254" t="s">
        <v>134</v>
      </c>
      <c r="B25" s="255">
        <v>21.97007545856</v>
      </c>
      <c r="C25" s="255">
        <v>18.86604279682</v>
      </c>
      <c r="D25" s="255">
        <v>978.77784671659003</v>
      </c>
      <c r="E25" s="81">
        <v>0.101925</v>
      </c>
      <c r="F25" s="43"/>
      <c r="G25" s="43"/>
      <c r="H25" s="43"/>
      <c r="I25" s="43"/>
      <c r="J25" s="43"/>
      <c r="K25" s="43"/>
      <c r="L25" s="43"/>
      <c r="M25" s="43"/>
      <c r="N25" s="43"/>
      <c r="O25" s="43"/>
      <c r="P25" s="43"/>
      <c r="Q25" s="43"/>
      <c r="R25" s="43"/>
    </row>
    <row r="26" spans="1:20" s="44" customFormat="1" outlineLevel="2" x14ac:dyDescent="0.3">
      <c r="A26" s="256" t="s">
        <v>135</v>
      </c>
      <c r="B26" s="190">
        <v>1.0243711815000001</v>
      </c>
      <c r="C26" s="190">
        <v>0.87964333970999997</v>
      </c>
      <c r="D26" s="190">
        <v>45.636248321419998</v>
      </c>
      <c r="E26" s="212">
        <v>4.7520000000000001E-3</v>
      </c>
      <c r="F26" s="43"/>
      <c r="G26" s="43"/>
      <c r="H26" s="43"/>
      <c r="I26" s="43"/>
      <c r="J26" s="43"/>
      <c r="K26" s="43"/>
      <c r="L26" s="43"/>
      <c r="M26" s="43"/>
      <c r="N26" s="43"/>
      <c r="O26" s="43"/>
      <c r="P26" s="43"/>
      <c r="Q26" s="43"/>
      <c r="R26" s="43"/>
    </row>
    <row r="27" spans="1:20" s="44" customFormat="1" outlineLevel="2" x14ac:dyDescent="0.3">
      <c r="A27" s="256" t="s">
        <v>136</v>
      </c>
      <c r="B27" s="190">
        <v>0.19161683547</v>
      </c>
      <c r="C27" s="190">
        <v>0.16454433329000001</v>
      </c>
      <c r="D27" s="190">
        <v>8.5366258286400001</v>
      </c>
      <c r="E27" s="212">
        <v>8.8900000000000003E-4</v>
      </c>
      <c r="F27" s="43"/>
      <c r="G27" s="43"/>
      <c r="H27" s="43"/>
      <c r="I27" s="43"/>
      <c r="J27" s="43"/>
      <c r="K27" s="43"/>
      <c r="L27" s="43"/>
      <c r="M27" s="43"/>
      <c r="N27" s="43"/>
      <c r="O27" s="43"/>
      <c r="P27" s="43"/>
      <c r="Q27" s="43"/>
      <c r="R27" s="43"/>
    </row>
    <row r="28" spans="1:20" s="66" customFormat="1" outlineLevel="2" x14ac:dyDescent="0.3">
      <c r="A28" s="256" t="s">
        <v>137</v>
      </c>
      <c r="B28" s="190">
        <v>3.2586151669699999</v>
      </c>
      <c r="C28" s="190">
        <v>2.7982231246099998</v>
      </c>
      <c r="D28" s="190">
        <v>145.172935</v>
      </c>
      <c r="E28" s="212">
        <v>1.5117999999999999E-2</v>
      </c>
      <c r="F28" s="65"/>
      <c r="G28" s="65"/>
      <c r="H28" s="65"/>
      <c r="I28" s="65"/>
      <c r="J28" s="65"/>
      <c r="K28" s="65"/>
      <c r="L28" s="65"/>
      <c r="M28" s="65"/>
      <c r="N28" s="65"/>
      <c r="O28" s="65"/>
      <c r="P28" s="65"/>
      <c r="Q28" s="65"/>
      <c r="R28" s="65"/>
    </row>
    <row r="29" spans="1:20" s="44" customFormat="1" outlineLevel="2" x14ac:dyDescent="0.3">
      <c r="A29" s="256" t="s">
        <v>138</v>
      </c>
      <c r="B29" s="190">
        <v>6.285002413</v>
      </c>
      <c r="C29" s="190">
        <v>5.3970285502899999</v>
      </c>
      <c r="D29" s="190">
        <v>280</v>
      </c>
      <c r="E29" s="212">
        <v>2.9158E-2</v>
      </c>
      <c r="F29" s="43"/>
      <c r="G29" s="43"/>
      <c r="H29" s="43"/>
      <c r="I29" s="43"/>
      <c r="J29" s="43"/>
      <c r="K29" s="43"/>
      <c r="L29" s="43"/>
      <c r="M29" s="43"/>
      <c r="N29" s="43"/>
      <c r="O29" s="43"/>
      <c r="P29" s="43"/>
      <c r="Q29" s="43"/>
      <c r="R29" s="43"/>
    </row>
    <row r="30" spans="1:20" s="44" customFormat="1" outlineLevel="2" x14ac:dyDescent="0.3">
      <c r="A30" s="256" t="s">
        <v>139</v>
      </c>
      <c r="B30" s="190">
        <v>18.96062532441</v>
      </c>
      <c r="C30" s="190">
        <v>16.281781530509999</v>
      </c>
      <c r="D30" s="190">
        <v>844.70533851505002</v>
      </c>
      <c r="E30" s="212">
        <v>8.7964000000000001E-2</v>
      </c>
      <c r="F30" s="43"/>
      <c r="G30" s="43"/>
      <c r="H30" s="43"/>
      <c r="I30" s="43"/>
      <c r="J30" s="43"/>
      <c r="K30" s="43"/>
      <c r="L30" s="43"/>
      <c r="M30" s="43"/>
      <c r="N30" s="43"/>
      <c r="O30" s="43"/>
      <c r="P30" s="43"/>
      <c r="Q30" s="43"/>
      <c r="R30" s="43"/>
    </row>
    <row r="31" spans="1:20" s="44" customFormat="1" outlineLevel="2" x14ac:dyDescent="0.3">
      <c r="A31" s="256" t="s">
        <v>141</v>
      </c>
      <c r="B31" s="190">
        <v>151.50267557033001</v>
      </c>
      <c r="C31" s="190">
        <v>130.09768521422001</v>
      </c>
      <c r="D31" s="190">
        <v>6749.5199479789499</v>
      </c>
      <c r="E31" s="212">
        <v>0.70286300000000002</v>
      </c>
      <c r="F31" s="43"/>
      <c r="G31" s="43"/>
      <c r="H31" s="43"/>
      <c r="I31" s="43"/>
      <c r="J31" s="43"/>
      <c r="K31" s="43"/>
      <c r="L31" s="43"/>
      <c r="M31" s="43"/>
      <c r="N31" s="43"/>
      <c r="O31" s="43"/>
      <c r="P31" s="43"/>
      <c r="Q31" s="43"/>
      <c r="R31" s="43"/>
    </row>
    <row r="32" spans="1:20" s="44" customFormat="1" ht="14.4" outlineLevel="1" x14ac:dyDescent="0.3">
      <c r="A32" s="257" t="s">
        <v>2</v>
      </c>
      <c r="B32" s="242">
        <f>SUM(B$33:B$38)</f>
        <v>5.7869695863799997</v>
      </c>
      <c r="C32" s="242">
        <f>SUM(C$33:C$38)</f>
        <v>4.9693600774000002</v>
      </c>
      <c r="D32" s="242">
        <f>SUM(D$33:D$38)</f>
        <v>257.81238855825001</v>
      </c>
      <c r="E32" s="243">
        <f>SUM(E$33:E$38)</f>
        <v>2.6848000000000004E-2</v>
      </c>
      <c r="F32" s="43"/>
      <c r="G32" s="43"/>
      <c r="H32" s="43"/>
      <c r="I32" s="43"/>
      <c r="J32" s="43"/>
      <c r="K32" s="43"/>
      <c r="L32" s="43"/>
      <c r="M32" s="43"/>
      <c r="N32" s="43"/>
      <c r="O32" s="43"/>
      <c r="P32" s="43"/>
      <c r="Q32" s="43"/>
      <c r="R32" s="43"/>
    </row>
    <row r="33" spans="1:18" outlineLevel="2" x14ac:dyDescent="0.3">
      <c r="A33" s="256" t="s">
        <v>133</v>
      </c>
      <c r="B33" s="190">
        <v>1.3482535866500001</v>
      </c>
      <c r="C33" s="190">
        <v>1.1577661585700001</v>
      </c>
      <c r="D33" s="190">
        <v>60.065371413080001</v>
      </c>
      <c r="E33" s="212">
        <v>6.2550000000000001E-3</v>
      </c>
      <c r="F33" s="30"/>
      <c r="G33" s="30"/>
      <c r="H33" s="30"/>
      <c r="I33" s="30"/>
      <c r="J33" s="30"/>
      <c r="K33" s="30"/>
      <c r="L33" s="30"/>
      <c r="M33" s="30"/>
      <c r="N33" s="30"/>
      <c r="O33" s="30"/>
      <c r="P33" s="30"/>
      <c r="Q33" s="30"/>
      <c r="R33" s="30"/>
    </row>
    <row r="34" spans="1:18" outlineLevel="2" x14ac:dyDescent="0.3">
      <c r="A34" s="256" t="s">
        <v>134</v>
      </c>
      <c r="B34" s="190">
        <v>1.3221544251899999</v>
      </c>
      <c r="C34" s="190">
        <v>1.1353544059</v>
      </c>
      <c r="D34" s="190">
        <v>58.902640719430003</v>
      </c>
      <c r="E34" s="212">
        <v>6.1339999999999997E-3</v>
      </c>
      <c r="F34" s="30"/>
      <c r="G34" s="30"/>
      <c r="H34" s="30"/>
      <c r="I34" s="30"/>
      <c r="J34" s="30"/>
      <c r="K34" s="30"/>
      <c r="L34" s="30"/>
      <c r="M34" s="30"/>
      <c r="N34" s="30"/>
      <c r="O34" s="30"/>
      <c r="P34" s="30"/>
      <c r="Q34" s="30"/>
      <c r="R34" s="30"/>
    </row>
    <row r="35" spans="1:18" outlineLevel="2" x14ac:dyDescent="0.3">
      <c r="A35" s="256" t="s">
        <v>138</v>
      </c>
      <c r="B35" s="190">
        <v>0.21505635478999999</v>
      </c>
      <c r="C35" s="190">
        <v>0.18467221020999999</v>
      </c>
      <c r="D35" s="190">
        <v>9.5808681345599993</v>
      </c>
      <c r="E35" s="212">
        <v>9.9799999999999997E-4</v>
      </c>
      <c r="F35" s="30"/>
      <c r="G35" s="30"/>
      <c r="H35" s="30"/>
      <c r="I35" s="30"/>
      <c r="J35" s="30"/>
      <c r="K35" s="30"/>
      <c r="L35" s="30"/>
      <c r="M35" s="30"/>
      <c r="N35" s="30"/>
      <c r="O35" s="30"/>
      <c r="P35" s="30"/>
      <c r="Q35" s="30"/>
      <c r="R35" s="30"/>
    </row>
    <row r="36" spans="1:18" outlineLevel="2" x14ac:dyDescent="0.3">
      <c r="A36" s="256" t="s">
        <v>139</v>
      </c>
      <c r="B36" s="190">
        <v>0.36064549812000002</v>
      </c>
      <c r="C36" s="190">
        <v>0.30969185402999999</v>
      </c>
      <c r="D36" s="190">
        <v>16.066937263900002</v>
      </c>
      <c r="E36" s="212">
        <v>1.673E-3</v>
      </c>
      <c r="F36" s="30"/>
      <c r="G36" s="30"/>
      <c r="H36" s="30"/>
      <c r="I36" s="30"/>
      <c r="J36" s="30"/>
      <c r="K36" s="30"/>
      <c r="L36" s="30"/>
      <c r="M36" s="30"/>
      <c r="N36" s="30"/>
      <c r="O36" s="30"/>
      <c r="P36" s="30"/>
      <c r="Q36" s="30"/>
      <c r="R36" s="30"/>
    </row>
    <row r="37" spans="1:18" outlineLevel="2" x14ac:dyDescent="0.3">
      <c r="A37" s="256" t="s">
        <v>140</v>
      </c>
      <c r="B37" s="190">
        <v>0.24480577271000001</v>
      </c>
      <c r="C37" s="190">
        <v>0.21021849441000001</v>
      </c>
      <c r="D37" s="190">
        <v>10.906219577250001</v>
      </c>
      <c r="E37" s="212">
        <v>1.1360000000000001E-3</v>
      </c>
      <c r="F37" s="30"/>
      <c r="G37" s="30"/>
      <c r="H37" s="30"/>
      <c r="I37" s="30"/>
      <c r="J37" s="30"/>
      <c r="K37" s="30"/>
      <c r="L37" s="30"/>
      <c r="M37" s="30"/>
      <c r="N37" s="30"/>
      <c r="O37" s="30"/>
      <c r="P37" s="30"/>
      <c r="Q37" s="30"/>
      <c r="R37" s="30"/>
    </row>
    <row r="38" spans="1:18" outlineLevel="2" x14ac:dyDescent="0.3">
      <c r="A38" s="256" t="s">
        <v>141</v>
      </c>
      <c r="B38" s="190">
        <v>2.29605394892</v>
      </c>
      <c r="C38" s="190">
        <v>1.97165695428</v>
      </c>
      <c r="D38" s="190">
        <v>102.29035145003</v>
      </c>
      <c r="E38" s="212">
        <v>1.0652E-2</v>
      </c>
      <c r="F38" s="30"/>
      <c r="G38" s="30"/>
      <c r="H38" s="30"/>
      <c r="I38" s="30"/>
      <c r="J38" s="30"/>
      <c r="K38" s="30"/>
      <c r="L38" s="30"/>
      <c r="M38" s="30"/>
      <c r="N38" s="30"/>
      <c r="O38" s="30"/>
      <c r="P38" s="30"/>
      <c r="Q38" s="30"/>
      <c r="R38" s="30"/>
    </row>
    <row r="39" spans="1:18" x14ac:dyDescent="0.3">
      <c r="B39" s="29"/>
      <c r="C39" s="29"/>
      <c r="D39" s="29"/>
      <c r="E39" s="67"/>
      <c r="F39" s="30"/>
      <c r="G39" s="30"/>
      <c r="H39" s="30"/>
      <c r="I39" s="30"/>
      <c r="J39" s="30"/>
      <c r="K39" s="30"/>
      <c r="L39" s="30"/>
      <c r="M39" s="30"/>
      <c r="N39" s="30"/>
      <c r="O39" s="30"/>
      <c r="P39" s="30"/>
      <c r="Q39" s="30"/>
      <c r="R39" s="30"/>
    </row>
    <row r="40" spans="1:18" x14ac:dyDescent="0.3">
      <c r="B40" s="29"/>
      <c r="C40" s="29"/>
      <c r="D40" s="29"/>
      <c r="E40" s="67"/>
      <c r="F40" s="30"/>
      <c r="G40" s="30"/>
      <c r="H40" s="30"/>
      <c r="I40" s="30"/>
      <c r="J40" s="30"/>
      <c r="K40" s="30"/>
      <c r="L40" s="30"/>
      <c r="M40" s="30"/>
      <c r="N40" s="30"/>
      <c r="O40" s="30"/>
      <c r="P40" s="30"/>
      <c r="Q40" s="30"/>
      <c r="R40" s="30"/>
    </row>
    <row r="41" spans="1:18" x14ac:dyDescent="0.3">
      <c r="B41" s="29"/>
      <c r="C41" s="29"/>
      <c r="D41" s="29"/>
      <c r="E41" s="67"/>
      <c r="F41" s="30"/>
      <c r="G41" s="30"/>
      <c r="H41" s="30"/>
      <c r="I41" s="30"/>
      <c r="J41" s="30"/>
      <c r="K41" s="30"/>
      <c r="L41" s="30"/>
      <c r="M41" s="30"/>
      <c r="N41" s="30"/>
      <c r="O41" s="30"/>
      <c r="P41" s="30"/>
      <c r="Q41" s="30"/>
      <c r="R41" s="30"/>
    </row>
    <row r="42" spans="1:18" x14ac:dyDescent="0.3">
      <c r="B42" s="29"/>
      <c r="C42" s="29"/>
      <c r="D42" s="29"/>
      <c r="E42" s="67"/>
      <c r="F42" s="30"/>
      <c r="G42" s="30"/>
      <c r="H42" s="30"/>
      <c r="I42" s="30"/>
      <c r="J42" s="30"/>
      <c r="K42" s="30"/>
      <c r="L42" s="30"/>
      <c r="M42" s="30"/>
      <c r="N42" s="30"/>
      <c r="O42" s="30"/>
      <c r="P42" s="30"/>
      <c r="Q42" s="30"/>
      <c r="R42" s="30"/>
    </row>
    <row r="43" spans="1:18" x14ac:dyDescent="0.3">
      <c r="B43" s="29"/>
      <c r="C43" s="29"/>
      <c r="D43" s="29"/>
      <c r="E43" s="67"/>
      <c r="F43" s="30"/>
      <c r="G43" s="30"/>
      <c r="H43" s="30"/>
      <c r="I43" s="30"/>
      <c r="J43" s="30"/>
      <c r="K43" s="30"/>
      <c r="L43" s="30"/>
      <c r="M43" s="30"/>
      <c r="N43" s="30"/>
      <c r="O43" s="30"/>
      <c r="P43" s="30"/>
      <c r="Q43" s="30"/>
      <c r="R43" s="30"/>
    </row>
    <row r="44" spans="1:18" x14ac:dyDescent="0.3">
      <c r="B44" s="29"/>
      <c r="C44" s="29"/>
      <c r="D44" s="29"/>
      <c r="E44" s="67"/>
      <c r="F44" s="30"/>
      <c r="G44" s="30"/>
      <c r="H44" s="30"/>
      <c r="I44" s="30"/>
      <c r="J44" s="30"/>
      <c r="K44" s="30"/>
      <c r="L44" s="30"/>
      <c r="M44" s="30"/>
      <c r="N44" s="30"/>
      <c r="O44" s="30"/>
      <c r="P44" s="30"/>
      <c r="Q44" s="30"/>
      <c r="R44" s="30"/>
    </row>
    <row r="45" spans="1:18" x14ac:dyDescent="0.3">
      <c r="B45" s="29"/>
      <c r="C45" s="29"/>
      <c r="D45" s="29"/>
      <c r="E45" s="67"/>
      <c r="F45" s="30"/>
      <c r="G45" s="30"/>
      <c r="H45" s="30"/>
      <c r="I45" s="30"/>
      <c r="J45" s="30"/>
      <c r="K45" s="30"/>
      <c r="L45" s="30"/>
      <c r="M45" s="30"/>
      <c r="N45" s="30"/>
      <c r="O45" s="30"/>
      <c r="P45" s="30"/>
      <c r="Q45" s="30"/>
      <c r="R45" s="30"/>
    </row>
    <row r="46" spans="1:18" x14ac:dyDescent="0.3">
      <c r="B46" s="29"/>
      <c r="C46" s="29"/>
      <c r="D46" s="29"/>
      <c r="E46" s="67"/>
      <c r="F46" s="30"/>
      <c r="G46" s="30"/>
      <c r="H46" s="30"/>
      <c r="I46" s="30"/>
      <c r="J46" s="30"/>
      <c r="K46" s="30"/>
      <c r="L46" s="30"/>
      <c r="M46" s="30"/>
      <c r="N46" s="30"/>
      <c r="O46" s="30"/>
      <c r="P46" s="30"/>
      <c r="Q46" s="30"/>
      <c r="R46" s="30"/>
    </row>
    <row r="47" spans="1:18" x14ac:dyDescent="0.3">
      <c r="B47" s="29"/>
      <c r="C47" s="29"/>
      <c r="D47" s="29"/>
      <c r="E47" s="67"/>
      <c r="F47" s="30"/>
      <c r="G47" s="30"/>
      <c r="H47" s="30"/>
      <c r="I47" s="30"/>
      <c r="J47" s="30"/>
      <c r="K47" s="30"/>
      <c r="L47" s="30"/>
      <c r="M47" s="30"/>
      <c r="N47" s="30"/>
      <c r="O47" s="30"/>
      <c r="P47" s="30"/>
      <c r="Q47" s="30"/>
      <c r="R47" s="30"/>
    </row>
    <row r="48" spans="1: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F244" s="30"/>
      <c r="G244" s="30"/>
      <c r="H244" s="30"/>
      <c r="I244" s="30"/>
      <c r="J244" s="30"/>
      <c r="K244" s="30"/>
      <c r="L244" s="30"/>
      <c r="M244" s="30"/>
      <c r="N244" s="30"/>
      <c r="O244" s="30"/>
      <c r="P244" s="30"/>
      <c r="Q244" s="30"/>
      <c r="R244" s="30"/>
    </row>
    <row r="245" spans="2:18" x14ac:dyDescent="0.3">
      <c r="F245" s="30"/>
      <c r="G245" s="30"/>
      <c r="H245" s="30"/>
      <c r="I245" s="30"/>
      <c r="J245" s="30"/>
      <c r="K245" s="30"/>
      <c r="L245" s="30"/>
      <c r="M245" s="30"/>
      <c r="N245" s="30"/>
      <c r="O245" s="30"/>
      <c r="P245" s="30"/>
      <c r="Q245" s="30"/>
      <c r="R245" s="30"/>
    </row>
    <row r="246" spans="2:18" x14ac:dyDescent="0.3">
      <c r="F246" s="30"/>
      <c r="G246" s="30"/>
      <c r="H246" s="30"/>
      <c r="I246" s="30"/>
      <c r="J246" s="30"/>
      <c r="K246" s="30"/>
      <c r="L246" s="30"/>
      <c r="M246" s="30"/>
      <c r="N246" s="30"/>
      <c r="O246" s="30"/>
      <c r="P246" s="30"/>
      <c r="Q246" s="30"/>
      <c r="R246" s="30"/>
    </row>
    <row r="247" spans="2:18" x14ac:dyDescent="0.3">
      <c r="F247" s="30"/>
      <c r="G247" s="30"/>
      <c r="H247" s="30"/>
      <c r="I247" s="30"/>
      <c r="J247" s="30"/>
      <c r="K247" s="30"/>
      <c r="L247" s="30"/>
      <c r="M247" s="30"/>
      <c r="N247" s="30"/>
      <c r="O247" s="30"/>
      <c r="P247" s="30"/>
      <c r="Q247" s="30"/>
      <c r="R247" s="30"/>
    </row>
    <row r="248" spans="2:18" x14ac:dyDescent="0.3">
      <c r="F248" s="30"/>
      <c r="G248" s="30"/>
      <c r="H248" s="30"/>
      <c r="I248" s="30"/>
      <c r="J248" s="30"/>
      <c r="K248" s="30"/>
      <c r="L248" s="30"/>
      <c r="M248" s="30"/>
      <c r="N248" s="30"/>
      <c r="O248" s="30"/>
      <c r="P248" s="30"/>
      <c r="Q248" s="30"/>
      <c r="R248" s="30"/>
    </row>
    <row r="249" spans="2:18" x14ac:dyDescent="0.3">
      <c r="F249" s="30"/>
      <c r="G249" s="30"/>
      <c r="H249" s="30"/>
      <c r="I249" s="30"/>
      <c r="J249" s="30"/>
      <c r="K249" s="30"/>
      <c r="L249" s="30"/>
      <c r="M249" s="30"/>
      <c r="N249" s="30"/>
      <c r="O249" s="30"/>
      <c r="P249" s="30"/>
      <c r="Q249" s="30"/>
      <c r="R249" s="30"/>
    </row>
    <row r="250" spans="2:18" x14ac:dyDescent="0.3">
      <c r="F250" s="30"/>
      <c r="G250" s="30"/>
      <c r="H250" s="30"/>
      <c r="I250" s="30"/>
      <c r="J250" s="30"/>
      <c r="K250" s="30"/>
      <c r="L250" s="30"/>
      <c r="M250" s="30"/>
      <c r="N250" s="30"/>
      <c r="O250" s="30"/>
      <c r="P250" s="30"/>
      <c r="Q250" s="30"/>
      <c r="R250" s="30"/>
    </row>
    <row r="251" spans="2:18" x14ac:dyDescent="0.3">
      <c r="F251" s="30"/>
      <c r="G251" s="30"/>
      <c r="H251" s="30"/>
      <c r="I251" s="30"/>
      <c r="J251" s="30"/>
      <c r="K251" s="30"/>
      <c r="L251" s="30"/>
      <c r="M251" s="30"/>
      <c r="N251" s="30"/>
      <c r="O251" s="30"/>
      <c r="P251" s="30"/>
      <c r="Q251" s="30"/>
      <c r="R251"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9">
    <tabColor indexed="48"/>
    <outlinePr applyStyles="1" summaryBelow="0"/>
    <pageSetUpPr fitToPage="1"/>
  </sheetPr>
  <dimension ref="A2:S238"/>
  <sheetViews>
    <sheetView workbookViewId="0">
      <selection activeCell="B6" sqref="B6"/>
    </sheetView>
  </sheetViews>
  <sheetFormatPr defaultColWidth="9.109375" defaultRowHeight="13.8" outlineLevelRow="2" x14ac:dyDescent="0.3"/>
  <cols>
    <col min="1" max="1" width="66" style="26" bestFit="1" customWidth="1"/>
    <col min="2" max="2" width="17.44140625" style="27" customWidth="1"/>
    <col min="3" max="3" width="18.109375" style="27" customWidth="1"/>
    <col min="4" max="4" width="11.44140625" style="76" bestFit="1" customWidth="1"/>
    <col min="5" max="5" width="17.109375" style="27" customWidth="1"/>
    <col min="6" max="6" width="17.5546875" style="27" customWidth="1"/>
    <col min="7" max="7" width="11.44140625" style="76" bestFit="1" customWidth="1"/>
    <col min="8" max="8" width="16.109375" style="27" bestFit="1" customWidth="1"/>
    <col min="9" max="9" width="9.109375" style="26" customWidth="1"/>
    <col min="10" max="16384" width="9.109375" style="26"/>
  </cols>
  <sheetData>
    <row r="2" spans="1:19" ht="18" x14ac:dyDescent="0.35">
      <c r="A2" s="5" t="str">
        <f>DEBT_BY_RATE_TYPE</f>
        <v>Структура боргу за типом ставки на кінець попереднього року та звітну дату</v>
      </c>
      <c r="B2" s="3"/>
      <c r="C2" s="3"/>
      <c r="D2" s="3"/>
      <c r="E2" s="3"/>
      <c r="F2" s="3"/>
      <c r="G2" s="3"/>
      <c r="H2" s="3"/>
      <c r="I2" s="30"/>
      <c r="J2" s="30"/>
      <c r="K2" s="30"/>
      <c r="L2" s="30"/>
      <c r="M2" s="30"/>
      <c r="N2" s="30"/>
      <c r="O2" s="30"/>
      <c r="P2" s="30"/>
      <c r="Q2" s="30"/>
      <c r="R2" s="30"/>
      <c r="S2" s="30"/>
    </row>
    <row r="3" spans="1:19" x14ac:dyDescent="0.3">
      <c r="A3" s="28"/>
    </row>
    <row r="4" spans="1:19" s="31" customFormat="1" x14ac:dyDescent="0.3">
      <c r="B4" s="32"/>
      <c r="C4" s="32"/>
      <c r="D4" s="71"/>
      <c r="E4" s="32"/>
      <c r="F4" s="32"/>
      <c r="G4" s="71"/>
      <c r="H4" s="31" t="str">
        <f>VALVAL</f>
        <v>млрд. одиниць</v>
      </c>
    </row>
    <row r="5" spans="1:19" s="57" customFormat="1" x14ac:dyDescent="0.25">
      <c r="A5" s="82"/>
      <c r="B5" s="288">
        <v>46022</v>
      </c>
      <c r="C5" s="289"/>
      <c r="D5" s="290"/>
      <c r="E5" s="288">
        <v>46265</v>
      </c>
      <c r="F5" s="289"/>
      <c r="G5" s="290"/>
      <c r="H5" s="83"/>
    </row>
    <row r="6" spans="1:19" s="84" customFormat="1" x14ac:dyDescent="0.25">
      <c r="A6" s="16"/>
      <c r="B6" s="72" t="str">
        <f>USD</f>
        <v>дол. США</v>
      </c>
      <c r="C6" s="72" t="str">
        <f>UAH</f>
        <v>грн.</v>
      </c>
      <c r="D6" s="73" t="s">
        <v>0</v>
      </c>
      <c r="E6" s="72" t="str">
        <f>USD</f>
        <v>дол. США</v>
      </c>
      <c r="F6" s="72" t="str">
        <f>UAH</f>
        <v>грн.</v>
      </c>
      <c r="G6" s="73" t="s">
        <v>0</v>
      </c>
      <c r="H6" s="72" t="str">
        <f>CHANGE_OF_STRUCTURE</f>
        <v>Зміна структури</v>
      </c>
    </row>
    <row r="7" spans="1:19" s="143" customFormat="1" ht="15.6" x14ac:dyDescent="0.25">
      <c r="A7" s="155" t="str">
        <f>DEBT_TOTAL</f>
        <v>Загальна сума державного та гарантованого державою боргу</v>
      </c>
      <c r="B7" s="141">
        <f t="shared" ref="B7:H7" si="0">SUM(B8:B15)</f>
        <v>60.217132089570001</v>
      </c>
      <c r="C7" s="141">
        <f t="shared" si="0"/>
        <v>2552.4717515868806</v>
      </c>
      <c r="D7" s="142">
        <f t="shared" si="0"/>
        <v>0.28226899999999999</v>
      </c>
      <c r="E7" s="141">
        <f t="shared" si="0"/>
        <v>61.752006470600001</v>
      </c>
      <c r="F7" s="141">
        <f t="shared" si="0"/>
        <v>2751.0827642719901</v>
      </c>
      <c r="G7" s="142">
        <f t="shared" si="0"/>
        <v>0.28648600000000002</v>
      </c>
      <c r="H7" s="141">
        <f t="shared" si="0"/>
        <v>4.2139999999999999E-3</v>
      </c>
    </row>
    <row r="8" spans="1:19" s="42" customFormat="1" outlineLevel="1" x14ac:dyDescent="0.25">
      <c r="A8" s="174" t="s">
        <v>133</v>
      </c>
      <c r="B8" s="180">
        <v>8.3038366540100004</v>
      </c>
      <c r="C8" s="180">
        <v>351.98136732366999</v>
      </c>
      <c r="D8" s="244">
        <v>3.8924E-2</v>
      </c>
      <c r="E8" s="180">
        <v>7.9190380398800002</v>
      </c>
      <c r="F8" s="180">
        <v>352.79710419514998</v>
      </c>
      <c r="G8" s="244">
        <v>3.6739000000000001E-2</v>
      </c>
      <c r="H8" s="180">
        <v>-2.186E-3</v>
      </c>
    </row>
    <row r="9" spans="1:19" s="42" customFormat="1" outlineLevel="1" x14ac:dyDescent="0.25">
      <c r="A9" s="174" t="s">
        <v>134</v>
      </c>
      <c r="B9" s="180">
        <v>21.843224553839999</v>
      </c>
      <c r="C9" s="180">
        <v>925.88623374326005</v>
      </c>
      <c r="D9" s="244">
        <v>0.102391</v>
      </c>
      <c r="E9" s="180">
        <v>23.29222988375</v>
      </c>
      <c r="F9" s="180">
        <v>1037.68048743602</v>
      </c>
      <c r="G9" s="244">
        <v>0.108059</v>
      </c>
      <c r="H9" s="180">
        <v>5.6680000000000003E-3</v>
      </c>
    </row>
    <row r="10" spans="1:19" s="42" customFormat="1" outlineLevel="1" x14ac:dyDescent="0.25">
      <c r="A10" s="174" t="s">
        <v>135</v>
      </c>
      <c r="B10" s="180">
        <v>0.81963749208000003</v>
      </c>
      <c r="C10" s="180">
        <v>34.742630086829998</v>
      </c>
      <c r="D10" s="244">
        <v>3.8419999999999999E-3</v>
      </c>
      <c r="E10" s="180">
        <v>1.0243711815000001</v>
      </c>
      <c r="F10" s="180">
        <v>45.636248321419998</v>
      </c>
      <c r="G10" s="244">
        <v>4.7520000000000001E-3</v>
      </c>
      <c r="H10" s="180">
        <v>9.1E-4</v>
      </c>
    </row>
    <row r="11" spans="1:19" s="42" customFormat="1" outlineLevel="1" x14ac:dyDescent="0.25">
      <c r="A11" s="174" t="s">
        <v>136</v>
      </c>
      <c r="B11" s="180">
        <v>0.22070491768</v>
      </c>
      <c r="C11" s="180">
        <v>9.3551959098000008</v>
      </c>
      <c r="D11" s="244">
        <v>1.0349999999999999E-3</v>
      </c>
      <c r="E11" s="180">
        <v>0.19161683547</v>
      </c>
      <c r="F11" s="180">
        <v>8.5366258286400001</v>
      </c>
      <c r="G11" s="244">
        <v>8.8900000000000003E-4</v>
      </c>
      <c r="H11" s="180">
        <v>-1.46E-4</v>
      </c>
    </row>
    <row r="12" spans="1:19" s="42" customFormat="1" outlineLevel="1" x14ac:dyDescent="0.25">
      <c r="A12" s="174" t="s">
        <v>137</v>
      </c>
      <c r="B12" s="180">
        <v>3.4248754358600002</v>
      </c>
      <c r="C12" s="180">
        <v>145.172935</v>
      </c>
      <c r="D12" s="244">
        <v>1.6053999999999999E-2</v>
      </c>
      <c r="E12" s="180">
        <v>3.2586151669699999</v>
      </c>
      <c r="F12" s="180">
        <v>145.172935</v>
      </c>
      <c r="G12" s="244">
        <v>1.5117999999999999E-2</v>
      </c>
      <c r="H12" s="180">
        <v>-9.3700000000000001E-4</v>
      </c>
    </row>
    <row r="13" spans="1:19" s="42" customFormat="1" outlineLevel="1" x14ac:dyDescent="0.25">
      <c r="A13" s="174" t="s">
        <v>138</v>
      </c>
      <c r="B13" s="180">
        <v>6.8402574723600003</v>
      </c>
      <c r="C13" s="180">
        <v>289.94346568560002</v>
      </c>
      <c r="D13" s="244">
        <v>3.2064000000000002E-2</v>
      </c>
      <c r="E13" s="180">
        <v>6.5000587677899997</v>
      </c>
      <c r="F13" s="180">
        <v>289.58086813455998</v>
      </c>
      <c r="G13" s="244">
        <v>3.0155999999999999E-2</v>
      </c>
      <c r="H13" s="258">
        <v>-1.908E-3</v>
      </c>
    </row>
    <row r="14" spans="1:19" outlineLevel="1" x14ac:dyDescent="0.3">
      <c r="A14" s="245" t="s">
        <v>139</v>
      </c>
      <c r="B14" s="190">
        <v>18.40916470666</v>
      </c>
      <c r="C14" s="190">
        <v>780.32399175445005</v>
      </c>
      <c r="D14" s="212">
        <v>8.6292999999999995E-2</v>
      </c>
      <c r="E14" s="190">
        <v>19.32127082253</v>
      </c>
      <c r="F14" s="190">
        <v>860.77227577894996</v>
      </c>
      <c r="G14" s="212">
        <v>8.9636999999999994E-2</v>
      </c>
      <c r="H14" s="259">
        <v>3.3430000000000001E-3</v>
      </c>
      <c r="I14" s="30"/>
      <c r="J14" s="30"/>
      <c r="K14" s="30"/>
      <c r="L14" s="30"/>
      <c r="M14" s="30"/>
      <c r="N14" s="30"/>
      <c r="O14" s="30"/>
      <c r="P14" s="30"/>
      <c r="Q14" s="30"/>
    </row>
    <row r="15" spans="1:19" outlineLevel="1" x14ac:dyDescent="0.3">
      <c r="A15" s="245" t="s">
        <v>140</v>
      </c>
      <c r="B15" s="190">
        <v>0.35543085708</v>
      </c>
      <c r="C15" s="190">
        <v>15.065932083270001</v>
      </c>
      <c r="D15" s="212">
        <v>1.6659999999999999E-3</v>
      </c>
      <c r="E15" s="190">
        <v>0.24480577271000001</v>
      </c>
      <c r="F15" s="190">
        <v>10.906219577250001</v>
      </c>
      <c r="G15" s="212">
        <v>1.1360000000000001E-3</v>
      </c>
      <c r="H15" s="259">
        <v>-5.2999999999999998E-4</v>
      </c>
      <c r="I15" s="30"/>
      <c r="J15" s="30"/>
      <c r="K15" s="30"/>
      <c r="L15" s="30"/>
      <c r="M15" s="30"/>
      <c r="N15" s="30"/>
      <c r="O15" s="30"/>
      <c r="P15" s="30"/>
      <c r="Q15" s="30"/>
    </row>
    <row r="16" spans="1:19" outlineLevel="1" x14ac:dyDescent="0.3">
      <c r="A16" s="245" t="s">
        <v>141</v>
      </c>
      <c r="B16" s="190">
        <v>153.11493581552</v>
      </c>
      <c r="C16" s="190">
        <v>6490.2052763585098</v>
      </c>
      <c r="D16" s="212">
        <v>0.71773100000000001</v>
      </c>
      <c r="E16" s="190">
        <v>153.79872951925</v>
      </c>
      <c r="F16" s="190">
        <v>6851.8102994289802</v>
      </c>
      <c r="G16" s="212">
        <v>0.71351500000000001</v>
      </c>
      <c r="H16" s="190">
        <v>-4.215E-3</v>
      </c>
      <c r="I16" s="30"/>
      <c r="J16" s="30"/>
      <c r="K16" s="30"/>
      <c r="L16" s="30"/>
      <c r="M16" s="30"/>
      <c r="N16" s="30"/>
      <c r="O16" s="30"/>
      <c r="P16" s="30"/>
      <c r="Q16" s="30"/>
    </row>
    <row r="17" spans="1:19" x14ac:dyDescent="0.3">
      <c r="B17" s="29"/>
      <c r="C17" s="29"/>
      <c r="D17" s="67"/>
      <c r="E17" s="29"/>
      <c r="F17" s="29"/>
      <c r="G17" s="67"/>
      <c r="H17" s="31" t="str">
        <f>VALVAL</f>
        <v>млрд. одиниць</v>
      </c>
      <c r="I17" s="30"/>
      <c r="J17" s="30"/>
      <c r="K17" s="30"/>
      <c r="L17" s="30"/>
      <c r="M17" s="30"/>
      <c r="N17" s="30"/>
      <c r="O17" s="30"/>
      <c r="P17" s="30"/>
      <c r="Q17" s="30"/>
    </row>
    <row r="18" spans="1:19" x14ac:dyDescent="0.3">
      <c r="A18" s="82"/>
      <c r="B18" s="288">
        <v>46022</v>
      </c>
      <c r="C18" s="289"/>
      <c r="D18" s="290"/>
      <c r="E18" s="288">
        <v>46265</v>
      </c>
      <c r="F18" s="289"/>
      <c r="G18" s="290"/>
      <c r="H18" s="83"/>
      <c r="I18" s="57"/>
      <c r="J18" s="57"/>
      <c r="K18" s="57"/>
      <c r="L18" s="57"/>
      <c r="M18" s="57"/>
      <c r="N18" s="57"/>
      <c r="O18" s="57"/>
      <c r="P18" s="57"/>
      <c r="Q18" s="57"/>
      <c r="R18" s="57"/>
      <c r="S18" s="57"/>
    </row>
    <row r="19" spans="1:19" s="87" customFormat="1" x14ac:dyDescent="0.3">
      <c r="A19" s="85"/>
      <c r="B19" s="93" t="str">
        <f>USD</f>
        <v>дол. США</v>
      </c>
      <c r="C19" s="93" t="str">
        <f>UAH</f>
        <v>грн.</v>
      </c>
      <c r="D19" s="94" t="s">
        <v>0</v>
      </c>
      <c r="E19" s="93" t="str">
        <f>USD</f>
        <v>дол. США</v>
      </c>
      <c r="F19" s="93" t="str">
        <f>UAH</f>
        <v>грн.</v>
      </c>
      <c r="G19" s="94" t="s">
        <v>0</v>
      </c>
      <c r="H19" s="93" t="str">
        <f>CHANGE_OF_STRUCTURE</f>
        <v>Зміна структури</v>
      </c>
      <c r="I19" s="86"/>
      <c r="J19" s="86"/>
      <c r="K19" s="86"/>
      <c r="L19" s="86"/>
      <c r="M19" s="86"/>
      <c r="N19" s="86"/>
      <c r="O19" s="86"/>
      <c r="P19" s="86"/>
      <c r="Q19" s="86"/>
    </row>
    <row r="20" spans="1:19" s="147" customFormat="1" ht="14.4" x14ac:dyDescent="0.3">
      <c r="A20" s="164" t="str">
        <f>DEBT_TOTAL</f>
        <v>Загальна сума державного та гарантованого державою боргу</v>
      </c>
      <c r="B20" s="149">
        <f t="shared" ref="B20:H20" si="1">B$21+B$30</f>
        <v>213.33206790508999</v>
      </c>
      <c r="C20" s="149">
        <f t="shared" si="1"/>
        <v>9042.6770279453904</v>
      </c>
      <c r="D20" s="150">
        <f t="shared" si="1"/>
        <v>0.99999800000000005</v>
      </c>
      <c r="E20" s="149">
        <f t="shared" si="1"/>
        <v>215.55073598985001</v>
      </c>
      <c r="F20" s="149">
        <f t="shared" si="1"/>
        <v>9602.8930637009689</v>
      </c>
      <c r="G20" s="150">
        <f t="shared" si="1"/>
        <v>1.0000009999999999</v>
      </c>
      <c r="H20" s="149">
        <f t="shared" si="1"/>
        <v>0</v>
      </c>
      <c r="I20" s="146"/>
      <c r="J20" s="146"/>
      <c r="K20" s="146"/>
      <c r="L20" s="146"/>
      <c r="M20" s="146"/>
      <c r="N20" s="146"/>
      <c r="O20" s="146"/>
      <c r="P20" s="146"/>
      <c r="Q20" s="146"/>
    </row>
    <row r="21" spans="1:19" s="66" customFormat="1" ht="14.4" outlineLevel="1" x14ac:dyDescent="0.3">
      <c r="A21" s="249" t="s">
        <v>1</v>
      </c>
      <c r="B21" s="260">
        <f t="shared" ref="B21:H21" si="2">SUM(B$22:B$29)</f>
        <v>206.80464722402999</v>
      </c>
      <c r="C21" s="260">
        <f t="shared" si="2"/>
        <v>8765.9940256002701</v>
      </c>
      <c r="D21" s="261">
        <f t="shared" si="2"/>
        <v>0.96940100000000007</v>
      </c>
      <c r="E21" s="260">
        <f t="shared" si="2"/>
        <v>209.76376640347002</v>
      </c>
      <c r="F21" s="260">
        <f t="shared" si="2"/>
        <v>9345.080675142719</v>
      </c>
      <c r="G21" s="261">
        <f t="shared" si="2"/>
        <v>0.97315299999999993</v>
      </c>
      <c r="H21" s="260">
        <f t="shared" si="2"/>
        <v>3.7489999999999997E-3</v>
      </c>
      <c r="I21" s="65"/>
      <c r="J21" s="65"/>
      <c r="K21" s="65"/>
      <c r="L21" s="65"/>
      <c r="M21" s="65"/>
      <c r="N21" s="65"/>
      <c r="O21" s="65"/>
      <c r="P21" s="65"/>
      <c r="Q21" s="65"/>
    </row>
    <row r="22" spans="1:19" s="44" customFormat="1" outlineLevel="2" x14ac:dyDescent="0.3">
      <c r="A22" s="252" t="s">
        <v>133</v>
      </c>
      <c r="B22" s="175">
        <v>6.5150342488900002</v>
      </c>
      <c r="C22" s="175">
        <v>276.15796873548999</v>
      </c>
      <c r="D22" s="178">
        <v>3.0539E-2</v>
      </c>
      <c r="E22" s="175">
        <v>6.5707844532299999</v>
      </c>
      <c r="F22" s="175">
        <v>292.73173278207003</v>
      </c>
      <c r="G22" s="178">
        <v>3.0484000000000001E-2</v>
      </c>
      <c r="H22" s="175">
        <v>-5.5999999999999999E-5</v>
      </c>
      <c r="I22" s="43"/>
      <c r="J22" s="43"/>
      <c r="K22" s="43"/>
      <c r="L22" s="43"/>
      <c r="M22" s="43"/>
      <c r="N22" s="43"/>
      <c r="O22" s="43"/>
      <c r="P22" s="43"/>
      <c r="Q22" s="43"/>
    </row>
    <row r="23" spans="1:19" outlineLevel="2" x14ac:dyDescent="0.3">
      <c r="A23" s="262" t="s">
        <v>134</v>
      </c>
      <c r="B23" s="190">
        <v>20.530964977339998</v>
      </c>
      <c r="C23" s="190">
        <v>870.2624372665</v>
      </c>
      <c r="D23" s="212">
        <v>9.6239000000000005E-2</v>
      </c>
      <c r="E23" s="190">
        <v>21.97007545856</v>
      </c>
      <c r="F23" s="190">
        <v>978.77784671659003</v>
      </c>
      <c r="G23" s="212">
        <v>0.101925</v>
      </c>
      <c r="H23" s="190">
        <v>5.6860000000000001E-3</v>
      </c>
      <c r="I23" s="30"/>
      <c r="J23" s="30"/>
      <c r="K23" s="30"/>
      <c r="L23" s="30"/>
      <c r="M23" s="30"/>
      <c r="N23" s="30"/>
      <c r="O23" s="30"/>
      <c r="P23" s="30"/>
      <c r="Q23" s="30"/>
    </row>
    <row r="24" spans="1:19" outlineLevel="2" x14ac:dyDescent="0.3">
      <c r="A24" s="262" t="s">
        <v>135</v>
      </c>
      <c r="B24" s="190">
        <v>0.81963749208000003</v>
      </c>
      <c r="C24" s="190">
        <v>34.742630086829998</v>
      </c>
      <c r="D24" s="212">
        <v>3.8419999999999999E-3</v>
      </c>
      <c r="E24" s="190">
        <v>1.0243711815000001</v>
      </c>
      <c r="F24" s="190">
        <v>45.636248321419998</v>
      </c>
      <c r="G24" s="212">
        <v>4.7520000000000001E-3</v>
      </c>
      <c r="H24" s="190">
        <v>9.1E-4</v>
      </c>
      <c r="I24" s="30"/>
      <c r="J24" s="30"/>
      <c r="K24" s="30"/>
      <c r="L24" s="30"/>
      <c r="M24" s="30"/>
      <c r="N24" s="30"/>
      <c r="O24" s="30"/>
      <c r="P24" s="30"/>
      <c r="Q24" s="30"/>
    </row>
    <row r="25" spans="1:19" outlineLevel="2" x14ac:dyDescent="0.3">
      <c r="A25" s="262" t="s">
        <v>136</v>
      </c>
      <c r="B25" s="190">
        <v>0.22070491768</v>
      </c>
      <c r="C25" s="190">
        <v>9.3551959098000008</v>
      </c>
      <c r="D25" s="212">
        <v>1.0349999999999999E-3</v>
      </c>
      <c r="E25" s="190">
        <v>0.19161683547</v>
      </c>
      <c r="F25" s="190">
        <v>8.5366258286400001</v>
      </c>
      <c r="G25" s="212">
        <v>8.8900000000000003E-4</v>
      </c>
      <c r="H25" s="190">
        <v>-1.46E-4</v>
      </c>
      <c r="I25" s="30"/>
      <c r="J25" s="30"/>
      <c r="K25" s="30"/>
      <c r="L25" s="30"/>
      <c r="M25" s="30"/>
      <c r="N25" s="30"/>
      <c r="O25" s="30"/>
      <c r="P25" s="30"/>
      <c r="Q25" s="30"/>
    </row>
    <row r="26" spans="1:19" outlineLevel="2" x14ac:dyDescent="0.3">
      <c r="A26" s="262" t="s">
        <v>137</v>
      </c>
      <c r="B26" s="190">
        <v>3.4248754358600002</v>
      </c>
      <c r="C26" s="190">
        <v>145.172935</v>
      </c>
      <c r="D26" s="212">
        <v>1.6053999999999999E-2</v>
      </c>
      <c r="E26" s="190">
        <v>3.2586151669699999</v>
      </c>
      <c r="F26" s="190">
        <v>145.172935</v>
      </c>
      <c r="G26" s="212">
        <v>1.5117999999999999E-2</v>
      </c>
      <c r="H26" s="190">
        <v>-9.3700000000000001E-4</v>
      </c>
      <c r="I26" s="30"/>
      <c r="J26" s="30"/>
      <c r="K26" s="30"/>
      <c r="L26" s="30"/>
      <c r="M26" s="30"/>
      <c r="N26" s="30"/>
      <c r="O26" s="30"/>
      <c r="P26" s="30"/>
      <c r="Q26" s="30"/>
    </row>
    <row r="27" spans="1:19" outlineLevel="2" x14ac:dyDescent="0.3">
      <c r="A27" s="262" t="s">
        <v>138</v>
      </c>
      <c r="B27" s="190">
        <v>6.6056742742300001</v>
      </c>
      <c r="C27" s="190">
        <v>280</v>
      </c>
      <c r="D27" s="212">
        <v>3.0963999999999998E-2</v>
      </c>
      <c r="E27" s="190">
        <v>6.285002413</v>
      </c>
      <c r="F27" s="190">
        <v>280</v>
      </c>
      <c r="G27" s="212">
        <v>2.9158E-2</v>
      </c>
      <c r="H27" s="190">
        <v>-1.8060000000000001E-3</v>
      </c>
      <c r="I27" s="30"/>
      <c r="J27" s="30"/>
      <c r="K27" s="30"/>
      <c r="L27" s="30"/>
      <c r="M27" s="30"/>
      <c r="N27" s="30"/>
      <c r="O27" s="30"/>
      <c r="P27" s="30"/>
      <c r="Q27" s="30"/>
    </row>
    <row r="28" spans="1:19" outlineLevel="2" x14ac:dyDescent="0.3">
      <c r="A28" s="262" t="s">
        <v>139</v>
      </c>
      <c r="B28" s="190">
        <v>17.88285439785</v>
      </c>
      <c r="C28" s="190">
        <v>758.01485564655002</v>
      </c>
      <c r="D28" s="212">
        <v>8.3825999999999998E-2</v>
      </c>
      <c r="E28" s="190">
        <v>18.96062532441</v>
      </c>
      <c r="F28" s="190">
        <v>844.70533851505002</v>
      </c>
      <c r="G28" s="212">
        <v>8.7964000000000001E-2</v>
      </c>
      <c r="H28" s="190">
        <v>4.1370000000000001E-3</v>
      </c>
      <c r="I28" s="30"/>
      <c r="J28" s="30"/>
      <c r="K28" s="30"/>
      <c r="L28" s="30"/>
      <c r="M28" s="30"/>
      <c r="N28" s="30"/>
      <c r="O28" s="30"/>
      <c r="P28" s="30"/>
      <c r="Q28" s="30"/>
    </row>
    <row r="29" spans="1:19" outlineLevel="2" x14ac:dyDescent="0.3">
      <c r="A29" s="262" t="s">
        <v>141</v>
      </c>
      <c r="B29" s="190">
        <v>150.8049014801</v>
      </c>
      <c r="C29" s="190">
        <v>6392.2880029550997</v>
      </c>
      <c r="D29" s="212">
        <v>0.70690200000000003</v>
      </c>
      <c r="E29" s="190">
        <v>151.50267557033001</v>
      </c>
      <c r="F29" s="190">
        <v>6749.5199479789499</v>
      </c>
      <c r="G29" s="212">
        <v>0.70286300000000002</v>
      </c>
      <c r="H29" s="190">
        <v>-4.0390000000000001E-3</v>
      </c>
      <c r="I29" s="30"/>
      <c r="J29" s="30"/>
      <c r="K29" s="30"/>
      <c r="L29" s="30"/>
      <c r="M29" s="30"/>
      <c r="N29" s="30"/>
      <c r="O29" s="30"/>
      <c r="P29" s="30"/>
      <c r="Q29" s="30"/>
    </row>
    <row r="30" spans="1:19" ht="14.4" outlineLevel="1" x14ac:dyDescent="0.3">
      <c r="A30" s="241" t="s">
        <v>2</v>
      </c>
      <c r="B30" s="242">
        <f t="shared" ref="B30:H30" si="3">SUM(B$31:B$36)</f>
        <v>6.5274206810599997</v>
      </c>
      <c r="C30" s="242">
        <f t="shared" si="3"/>
        <v>276.68300234511997</v>
      </c>
      <c r="D30" s="243">
        <f t="shared" si="3"/>
        <v>3.0597000000000003E-2</v>
      </c>
      <c r="E30" s="242">
        <f t="shared" si="3"/>
        <v>5.7869695863799997</v>
      </c>
      <c r="F30" s="242">
        <f t="shared" si="3"/>
        <v>257.81238855825001</v>
      </c>
      <c r="G30" s="243">
        <f t="shared" si="3"/>
        <v>2.6848000000000004E-2</v>
      </c>
      <c r="H30" s="242">
        <f t="shared" si="3"/>
        <v>-3.7490000000000002E-3</v>
      </c>
      <c r="I30" s="30"/>
      <c r="J30" s="30"/>
      <c r="K30" s="30"/>
      <c r="L30" s="30"/>
      <c r="M30" s="30"/>
      <c r="N30" s="30"/>
      <c r="O30" s="30"/>
      <c r="P30" s="30"/>
      <c r="Q30" s="30"/>
    </row>
    <row r="31" spans="1:19" outlineLevel="2" x14ac:dyDescent="0.3">
      <c r="A31" s="262" t="s">
        <v>133</v>
      </c>
      <c r="B31" s="190">
        <v>1.78880240512</v>
      </c>
      <c r="C31" s="190">
        <v>75.823398588179998</v>
      </c>
      <c r="D31" s="212">
        <v>8.3850000000000001E-3</v>
      </c>
      <c r="E31" s="190">
        <v>1.3482535866500001</v>
      </c>
      <c r="F31" s="190">
        <v>60.065371413080001</v>
      </c>
      <c r="G31" s="212">
        <v>6.2550000000000001E-3</v>
      </c>
      <c r="H31" s="190">
        <v>-2.1299999999999999E-3</v>
      </c>
      <c r="I31" s="30"/>
      <c r="J31" s="30"/>
      <c r="K31" s="30"/>
      <c r="L31" s="30"/>
      <c r="M31" s="30"/>
      <c r="N31" s="30"/>
      <c r="O31" s="30"/>
      <c r="P31" s="30"/>
      <c r="Q31" s="30"/>
    </row>
    <row r="32" spans="1:19" outlineLevel="2" x14ac:dyDescent="0.3">
      <c r="A32" s="262" t="s">
        <v>134</v>
      </c>
      <c r="B32" s="190">
        <v>1.3122595765</v>
      </c>
      <c r="C32" s="190">
        <v>55.623796476759999</v>
      </c>
      <c r="D32" s="212">
        <v>6.1510000000000002E-3</v>
      </c>
      <c r="E32" s="190">
        <v>1.3221544251899999</v>
      </c>
      <c r="F32" s="190">
        <v>58.902640719430003</v>
      </c>
      <c r="G32" s="212">
        <v>6.1339999999999997E-3</v>
      </c>
      <c r="H32" s="190">
        <v>-1.7E-5</v>
      </c>
      <c r="I32" s="30"/>
      <c r="J32" s="30"/>
      <c r="K32" s="30"/>
      <c r="L32" s="30"/>
      <c r="M32" s="30"/>
      <c r="N32" s="30"/>
      <c r="O32" s="30"/>
      <c r="P32" s="30"/>
      <c r="Q32" s="30"/>
    </row>
    <row r="33" spans="1:17" outlineLevel="2" x14ac:dyDescent="0.3">
      <c r="A33" s="262" t="s">
        <v>138</v>
      </c>
      <c r="B33" s="190">
        <v>0.23458319813</v>
      </c>
      <c r="C33" s="190">
        <v>9.9434656855999997</v>
      </c>
      <c r="D33" s="212">
        <v>1.1000000000000001E-3</v>
      </c>
      <c r="E33" s="190">
        <v>0.21505635478999999</v>
      </c>
      <c r="F33" s="190">
        <v>9.5808681345599993</v>
      </c>
      <c r="G33" s="212">
        <v>9.9799999999999997E-4</v>
      </c>
      <c r="H33" s="190">
        <v>-1.02E-4</v>
      </c>
      <c r="I33" s="30"/>
      <c r="J33" s="30"/>
      <c r="K33" s="30"/>
      <c r="L33" s="30"/>
      <c r="M33" s="30"/>
      <c r="N33" s="30"/>
      <c r="O33" s="30"/>
      <c r="P33" s="30"/>
      <c r="Q33" s="30"/>
    </row>
    <row r="34" spans="1:17" outlineLevel="2" x14ac:dyDescent="0.3">
      <c r="A34" s="262" t="s">
        <v>139</v>
      </c>
      <c r="B34" s="190">
        <v>0.52631030880999996</v>
      </c>
      <c r="C34" s="190">
        <v>22.309136107899999</v>
      </c>
      <c r="D34" s="212">
        <v>2.467E-3</v>
      </c>
      <c r="E34" s="190">
        <v>0.36064549812000002</v>
      </c>
      <c r="F34" s="190">
        <v>16.066937263900002</v>
      </c>
      <c r="G34" s="212">
        <v>1.673E-3</v>
      </c>
      <c r="H34" s="190">
        <v>-7.94E-4</v>
      </c>
      <c r="I34" s="30"/>
      <c r="J34" s="30"/>
      <c r="K34" s="30"/>
      <c r="L34" s="30"/>
      <c r="M34" s="30"/>
      <c r="N34" s="30"/>
      <c r="O34" s="30"/>
      <c r="P34" s="30"/>
      <c r="Q34" s="30"/>
    </row>
    <row r="35" spans="1:17" outlineLevel="2" x14ac:dyDescent="0.3">
      <c r="A35" s="262" t="s">
        <v>140</v>
      </c>
      <c r="B35" s="190">
        <v>0.35543085708</v>
      </c>
      <c r="C35" s="190">
        <v>15.065932083270001</v>
      </c>
      <c r="D35" s="212">
        <v>1.6659999999999999E-3</v>
      </c>
      <c r="E35" s="190">
        <v>0.24480577271000001</v>
      </c>
      <c r="F35" s="190">
        <v>10.906219577250001</v>
      </c>
      <c r="G35" s="212">
        <v>1.1360000000000001E-3</v>
      </c>
      <c r="H35" s="190">
        <v>-5.2999999999999998E-4</v>
      </c>
      <c r="I35" s="30"/>
      <c r="J35" s="30"/>
      <c r="K35" s="30"/>
      <c r="L35" s="30"/>
      <c r="M35" s="30"/>
      <c r="N35" s="30"/>
      <c r="O35" s="30"/>
      <c r="P35" s="30"/>
      <c r="Q35" s="30"/>
    </row>
    <row r="36" spans="1:17" outlineLevel="2" x14ac:dyDescent="0.3">
      <c r="A36" s="262" t="s">
        <v>141</v>
      </c>
      <c r="B36" s="190">
        <v>2.3100343354200001</v>
      </c>
      <c r="C36" s="190">
        <v>97.917273403409993</v>
      </c>
      <c r="D36" s="212">
        <v>1.0828000000000001E-2</v>
      </c>
      <c r="E36" s="190">
        <v>2.29605394892</v>
      </c>
      <c r="F36" s="190">
        <v>102.29035145003</v>
      </c>
      <c r="G36" s="212">
        <v>1.0652E-2</v>
      </c>
      <c r="H36" s="190">
        <v>-1.76E-4</v>
      </c>
      <c r="I36" s="30"/>
      <c r="J36" s="30"/>
      <c r="K36" s="30"/>
      <c r="L36" s="30"/>
      <c r="M36" s="30"/>
      <c r="N36" s="30"/>
      <c r="O36" s="30"/>
      <c r="P36" s="30"/>
      <c r="Q36" s="30"/>
    </row>
    <row r="37" spans="1:17" x14ac:dyDescent="0.3">
      <c r="B37" s="29"/>
      <c r="C37" s="29"/>
      <c r="D37" s="67"/>
      <c r="E37" s="29"/>
      <c r="F37" s="29"/>
      <c r="G37" s="67"/>
      <c r="H37" s="29"/>
      <c r="I37" s="30"/>
      <c r="J37" s="30"/>
      <c r="K37" s="30"/>
      <c r="L37" s="30"/>
      <c r="M37" s="30"/>
      <c r="N37" s="30"/>
      <c r="O37" s="30"/>
      <c r="P37" s="30"/>
      <c r="Q37" s="30"/>
    </row>
    <row r="38" spans="1:17" x14ac:dyDescent="0.3">
      <c r="B38" s="29"/>
      <c r="C38" s="29"/>
      <c r="D38" s="67"/>
      <c r="E38" s="29"/>
      <c r="F38" s="29"/>
      <c r="G38" s="67"/>
      <c r="H38" s="29"/>
      <c r="I38" s="30"/>
      <c r="J38" s="30"/>
      <c r="K38" s="30"/>
      <c r="L38" s="30"/>
      <c r="M38" s="30"/>
      <c r="N38" s="30"/>
      <c r="O38" s="30"/>
      <c r="P38" s="30"/>
      <c r="Q38" s="30"/>
    </row>
    <row r="39" spans="1:17" x14ac:dyDescent="0.3">
      <c r="B39" s="29"/>
      <c r="C39" s="29"/>
      <c r="D39" s="67"/>
      <c r="E39" s="29"/>
      <c r="F39" s="29"/>
      <c r="G39" s="67"/>
      <c r="H39" s="29"/>
      <c r="I39" s="30"/>
      <c r="J39" s="30"/>
      <c r="K39" s="30"/>
      <c r="L39" s="30"/>
      <c r="M39" s="30"/>
      <c r="N39" s="30"/>
      <c r="O39" s="30"/>
      <c r="P39" s="30"/>
      <c r="Q39" s="30"/>
    </row>
    <row r="40" spans="1:17" x14ac:dyDescent="0.3">
      <c r="B40" s="29"/>
      <c r="C40" s="29"/>
      <c r="D40" s="67"/>
      <c r="E40" s="29"/>
      <c r="F40" s="29"/>
      <c r="G40" s="67"/>
      <c r="H40" s="29"/>
      <c r="I40" s="30"/>
      <c r="J40" s="30"/>
      <c r="K40" s="30"/>
      <c r="L40" s="30"/>
      <c r="M40" s="30"/>
      <c r="N40" s="30"/>
      <c r="O40" s="30"/>
      <c r="P40" s="30"/>
      <c r="Q40" s="30"/>
    </row>
    <row r="41" spans="1:17" x14ac:dyDescent="0.3">
      <c r="B41" s="29"/>
      <c r="C41" s="29"/>
      <c r="D41" s="67"/>
      <c r="E41" s="29"/>
      <c r="F41" s="29"/>
      <c r="G41" s="67"/>
      <c r="H41" s="29"/>
      <c r="I41" s="30"/>
      <c r="J41" s="30"/>
      <c r="K41" s="30"/>
      <c r="L41" s="30"/>
      <c r="M41" s="30"/>
      <c r="N41" s="30"/>
      <c r="O41" s="30"/>
      <c r="P41" s="30"/>
      <c r="Q41" s="30"/>
    </row>
    <row r="42" spans="1:17" x14ac:dyDescent="0.3">
      <c r="B42" s="29"/>
      <c r="C42" s="29"/>
      <c r="D42" s="67"/>
      <c r="E42" s="29"/>
      <c r="F42" s="29"/>
      <c r="G42" s="67"/>
      <c r="H42" s="29"/>
      <c r="I42" s="30"/>
      <c r="J42" s="30"/>
      <c r="K42" s="30"/>
      <c r="L42" s="30"/>
      <c r="M42" s="30"/>
      <c r="N42" s="30"/>
      <c r="O42" s="30"/>
      <c r="P42" s="30"/>
      <c r="Q42" s="30"/>
    </row>
    <row r="43" spans="1:17" x14ac:dyDescent="0.3">
      <c r="B43" s="29"/>
      <c r="C43" s="29"/>
      <c r="D43" s="67"/>
      <c r="E43" s="29"/>
      <c r="F43" s="29"/>
      <c r="G43" s="67"/>
      <c r="H43" s="29"/>
      <c r="I43" s="30"/>
      <c r="J43" s="30"/>
      <c r="K43" s="30"/>
      <c r="L43" s="30"/>
      <c r="M43" s="30"/>
      <c r="N43" s="30"/>
      <c r="O43" s="30"/>
      <c r="P43" s="30"/>
      <c r="Q43" s="30"/>
    </row>
    <row r="44" spans="1:17" x14ac:dyDescent="0.3">
      <c r="B44" s="29"/>
      <c r="C44" s="29"/>
      <c r="D44" s="67"/>
      <c r="E44" s="29"/>
      <c r="F44" s="29"/>
      <c r="G44" s="67"/>
      <c r="H44" s="29"/>
      <c r="I44" s="30"/>
      <c r="J44" s="30"/>
      <c r="K44" s="30"/>
      <c r="L44" s="30"/>
      <c r="M44" s="30"/>
      <c r="N44" s="30"/>
      <c r="O44" s="30"/>
      <c r="P44" s="30"/>
      <c r="Q44" s="30"/>
    </row>
    <row r="45" spans="1:17" x14ac:dyDescent="0.3">
      <c r="B45" s="29"/>
      <c r="C45" s="29"/>
      <c r="D45" s="67"/>
      <c r="E45" s="29"/>
      <c r="F45" s="29"/>
      <c r="G45" s="67"/>
      <c r="H45" s="29"/>
      <c r="I45" s="30"/>
      <c r="J45" s="30"/>
      <c r="K45" s="30"/>
      <c r="L45" s="30"/>
      <c r="M45" s="30"/>
      <c r="N45" s="30"/>
      <c r="O45" s="30"/>
      <c r="P45" s="30"/>
      <c r="Q45" s="30"/>
    </row>
    <row r="46" spans="1:17" x14ac:dyDescent="0.3">
      <c r="B46" s="29"/>
      <c r="C46" s="29"/>
      <c r="D46" s="67"/>
      <c r="E46" s="29"/>
      <c r="F46" s="29"/>
      <c r="G46" s="67"/>
      <c r="H46" s="29"/>
      <c r="I46" s="30"/>
      <c r="J46" s="30"/>
      <c r="K46" s="30"/>
      <c r="L46" s="30"/>
      <c r="M46" s="30"/>
      <c r="N46" s="30"/>
      <c r="O46" s="30"/>
      <c r="P46" s="30"/>
      <c r="Q46" s="30"/>
    </row>
    <row r="47" spans="1:17" x14ac:dyDescent="0.3">
      <c r="B47" s="29"/>
      <c r="C47" s="29"/>
      <c r="D47" s="67"/>
      <c r="E47" s="29"/>
      <c r="F47" s="29"/>
      <c r="G47" s="67"/>
      <c r="H47" s="29"/>
      <c r="I47" s="30"/>
      <c r="J47" s="30"/>
      <c r="K47" s="30"/>
      <c r="L47" s="30"/>
      <c r="M47" s="30"/>
      <c r="N47" s="30"/>
      <c r="O47" s="30"/>
      <c r="P47" s="30"/>
      <c r="Q47" s="30"/>
    </row>
    <row r="48" spans="1:17" x14ac:dyDescent="0.3">
      <c r="B48" s="29"/>
      <c r="C48" s="29"/>
      <c r="D48" s="67"/>
      <c r="E48" s="29"/>
      <c r="F48" s="29"/>
      <c r="G48" s="67"/>
      <c r="H48" s="29"/>
      <c r="I48" s="30"/>
      <c r="J48" s="30"/>
      <c r="K48" s="30"/>
      <c r="L48" s="30"/>
      <c r="M48" s="30"/>
      <c r="N48" s="30"/>
      <c r="O48" s="30"/>
      <c r="P48" s="30"/>
      <c r="Q48" s="30"/>
    </row>
    <row r="49" spans="2:17" x14ac:dyDescent="0.3">
      <c r="B49" s="29"/>
      <c r="C49" s="29"/>
      <c r="D49" s="67"/>
      <c r="E49" s="29"/>
      <c r="F49" s="29"/>
      <c r="G49" s="67"/>
      <c r="H49" s="29"/>
      <c r="I49" s="30"/>
      <c r="J49" s="30"/>
      <c r="K49" s="30"/>
      <c r="L49" s="30"/>
      <c r="M49" s="30"/>
      <c r="N49" s="30"/>
      <c r="O49" s="30"/>
      <c r="P49" s="30"/>
      <c r="Q49" s="30"/>
    </row>
    <row r="50" spans="2:17" x14ac:dyDescent="0.3">
      <c r="B50" s="29"/>
      <c r="C50" s="29"/>
      <c r="D50" s="67"/>
      <c r="E50" s="29"/>
      <c r="F50" s="29"/>
      <c r="G50" s="67"/>
      <c r="H50" s="29"/>
      <c r="I50" s="30"/>
      <c r="J50" s="30"/>
      <c r="K50" s="30"/>
      <c r="L50" s="30"/>
      <c r="M50" s="30"/>
      <c r="N50" s="30"/>
      <c r="O50" s="30"/>
      <c r="P50" s="30"/>
      <c r="Q50" s="30"/>
    </row>
    <row r="51" spans="2:17" x14ac:dyDescent="0.3">
      <c r="B51" s="29"/>
      <c r="C51" s="29"/>
      <c r="D51" s="67"/>
      <c r="E51" s="29"/>
      <c r="F51" s="29"/>
      <c r="G51" s="67"/>
      <c r="H51" s="29"/>
      <c r="I51" s="30"/>
      <c r="J51" s="30"/>
      <c r="K51" s="30"/>
      <c r="L51" s="30"/>
      <c r="M51" s="30"/>
      <c r="N51" s="30"/>
      <c r="O51" s="30"/>
      <c r="P51" s="30"/>
      <c r="Q51" s="30"/>
    </row>
    <row r="52" spans="2:17" x14ac:dyDescent="0.3">
      <c r="B52" s="29"/>
      <c r="C52" s="29"/>
      <c r="D52" s="67"/>
      <c r="E52" s="29"/>
      <c r="F52" s="29"/>
      <c r="G52" s="67"/>
      <c r="H52" s="29"/>
      <c r="I52" s="30"/>
      <c r="J52" s="30"/>
      <c r="K52" s="30"/>
      <c r="L52" s="30"/>
      <c r="M52" s="30"/>
      <c r="N52" s="30"/>
      <c r="O52" s="30"/>
      <c r="P52" s="30"/>
      <c r="Q52" s="30"/>
    </row>
    <row r="53" spans="2:17" x14ac:dyDescent="0.3">
      <c r="B53" s="29"/>
      <c r="C53" s="29"/>
      <c r="D53" s="67"/>
      <c r="E53" s="29"/>
      <c r="F53" s="29"/>
      <c r="G53" s="67"/>
      <c r="H53" s="29"/>
      <c r="I53" s="30"/>
      <c r="J53" s="30"/>
      <c r="K53" s="30"/>
      <c r="L53" s="30"/>
      <c r="M53" s="30"/>
      <c r="N53" s="30"/>
      <c r="O53" s="30"/>
      <c r="P53" s="30"/>
      <c r="Q53" s="30"/>
    </row>
    <row r="54" spans="2:17" x14ac:dyDescent="0.3">
      <c r="B54" s="29"/>
      <c r="C54" s="29"/>
      <c r="D54" s="67"/>
      <c r="E54" s="29"/>
      <c r="F54" s="29"/>
      <c r="G54" s="67"/>
      <c r="H54" s="29"/>
      <c r="I54" s="30"/>
      <c r="J54" s="30"/>
      <c r="K54" s="30"/>
      <c r="L54" s="30"/>
      <c r="M54" s="30"/>
      <c r="N54" s="30"/>
      <c r="O54" s="30"/>
      <c r="P54" s="30"/>
      <c r="Q54" s="30"/>
    </row>
    <row r="55" spans="2:17" x14ac:dyDescent="0.3">
      <c r="B55" s="29"/>
      <c r="C55" s="29"/>
      <c r="D55" s="67"/>
      <c r="E55" s="29"/>
      <c r="F55" s="29"/>
      <c r="G55" s="67"/>
      <c r="H55" s="29"/>
      <c r="I55" s="30"/>
      <c r="J55" s="30"/>
      <c r="K55" s="30"/>
      <c r="L55" s="30"/>
      <c r="M55" s="30"/>
      <c r="N55" s="30"/>
      <c r="O55" s="30"/>
      <c r="P55" s="30"/>
      <c r="Q55" s="30"/>
    </row>
    <row r="56" spans="2:17" x14ac:dyDescent="0.3">
      <c r="B56" s="29"/>
      <c r="C56" s="29"/>
      <c r="D56" s="67"/>
      <c r="E56" s="29"/>
      <c r="F56" s="29"/>
      <c r="G56" s="67"/>
      <c r="H56" s="29"/>
      <c r="I56" s="30"/>
      <c r="J56" s="30"/>
      <c r="K56" s="30"/>
      <c r="L56" s="30"/>
      <c r="M56" s="30"/>
      <c r="N56" s="30"/>
      <c r="O56" s="30"/>
      <c r="P56" s="30"/>
      <c r="Q56" s="30"/>
    </row>
    <row r="57" spans="2:17" x14ac:dyDescent="0.3">
      <c r="B57" s="29"/>
      <c r="C57" s="29"/>
      <c r="D57" s="67"/>
      <c r="E57" s="29"/>
      <c r="F57" s="29"/>
      <c r="G57" s="67"/>
      <c r="H57" s="29"/>
      <c r="I57" s="30"/>
      <c r="J57" s="30"/>
      <c r="K57" s="30"/>
      <c r="L57" s="30"/>
      <c r="M57" s="30"/>
      <c r="N57" s="30"/>
      <c r="O57" s="30"/>
      <c r="P57" s="30"/>
      <c r="Q57" s="30"/>
    </row>
    <row r="58" spans="2:17" x14ac:dyDescent="0.3">
      <c r="B58" s="29"/>
      <c r="C58" s="29"/>
      <c r="D58" s="67"/>
      <c r="E58" s="29"/>
      <c r="F58" s="29"/>
      <c r="G58" s="67"/>
      <c r="H58" s="29"/>
      <c r="I58" s="30"/>
      <c r="J58" s="30"/>
      <c r="K58" s="30"/>
      <c r="L58" s="30"/>
      <c r="M58" s="30"/>
      <c r="N58" s="30"/>
      <c r="O58" s="30"/>
      <c r="P58" s="30"/>
      <c r="Q58" s="30"/>
    </row>
    <row r="59" spans="2:17" x14ac:dyDescent="0.3">
      <c r="B59" s="29"/>
      <c r="C59" s="29"/>
      <c r="D59" s="67"/>
      <c r="E59" s="29"/>
      <c r="F59" s="29"/>
      <c r="G59" s="67"/>
      <c r="H59" s="29"/>
      <c r="I59" s="30"/>
      <c r="J59" s="30"/>
      <c r="K59" s="30"/>
      <c r="L59" s="30"/>
      <c r="M59" s="30"/>
      <c r="N59" s="30"/>
      <c r="O59" s="30"/>
      <c r="P59" s="30"/>
      <c r="Q59" s="30"/>
    </row>
    <row r="60" spans="2:17" x14ac:dyDescent="0.3">
      <c r="B60" s="29"/>
      <c r="C60" s="29"/>
      <c r="D60" s="67"/>
      <c r="E60" s="29"/>
      <c r="F60" s="29"/>
      <c r="G60" s="67"/>
      <c r="H60" s="29"/>
      <c r="I60" s="30"/>
      <c r="J60" s="30"/>
      <c r="K60" s="30"/>
      <c r="L60" s="30"/>
      <c r="M60" s="30"/>
      <c r="N60" s="30"/>
      <c r="O60" s="30"/>
      <c r="P60" s="30"/>
      <c r="Q60" s="30"/>
    </row>
    <row r="61" spans="2:17" x14ac:dyDescent="0.3">
      <c r="B61" s="29"/>
      <c r="C61" s="29"/>
      <c r="D61" s="67"/>
      <c r="E61" s="29"/>
      <c r="F61" s="29"/>
      <c r="G61" s="67"/>
      <c r="H61" s="29"/>
      <c r="I61" s="30"/>
      <c r="J61" s="30"/>
      <c r="K61" s="30"/>
      <c r="L61" s="30"/>
      <c r="M61" s="30"/>
      <c r="N61" s="30"/>
      <c r="O61" s="30"/>
      <c r="P61" s="30"/>
      <c r="Q61" s="30"/>
    </row>
    <row r="62" spans="2:17" x14ac:dyDescent="0.3">
      <c r="B62" s="29"/>
      <c r="C62" s="29"/>
      <c r="D62" s="67"/>
      <c r="E62" s="29"/>
      <c r="F62" s="29"/>
      <c r="G62" s="67"/>
      <c r="H62" s="29"/>
      <c r="I62" s="30"/>
      <c r="J62" s="30"/>
      <c r="K62" s="30"/>
      <c r="L62" s="30"/>
      <c r="M62" s="30"/>
      <c r="N62" s="30"/>
      <c r="O62" s="30"/>
      <c r="P62" s="30"/>
      <c r="Q62" s="30"/>
    </row>
    <row r="63" spans="2:17" x14ac:dyDescent="0.3">
      <c r="B63" s="29"/>
      <c r="C63" s="29"/>
      <c r="D63" s="67"/>
      <c r="E63" s="29"/>
      <c r="F63" s="29"/>
      <c r="G63" s="67"/>
      <c r="H63" s="29"/>
      <c r="I63" s="30"/>
      <c r="J63" s="30"/>
      <c r="K63" s="30"/>
      <c r="L63" s="30"/>
      <c r="M63" s="30"/>
      <c r="N63" s="30"/>
      <c r="O63" s="30"/>
      <c r="P63" s="30"/>
      <c r="Q63" s="30"/>
    </row>
    <row r="64" spans="2:17" x14ac:dyDescent="0.3">
      <c r="B64" s="29"/>
      <c r="C64" s="29"/>
      <c r="D64" s="67"/>
      <c r="E64" s="29"/>
      <c r="F64" s="29"/>
      <c r="G64" s="67"/>
      <c r="H64" s="29"/>
      <c r="I64" s="30"/>
      <c r="J64" s="30"/>
      <c r="K64" s="30"/>
      <c r="L64" s="30"/>
      <c r="M64" s="30"/>
      <c r="N64" s="30"/>
      <c r="O64" s="30"/>
      <c r="P64" s="30"/>
      <c r="Q64" s="30"/>
    </row>
    <row r="65" spans="2:17" x14ac:dyDescent="0.3">
      <c r="B65" s="29"/>
      <c r="C65" s="29"/>
      <c r="D65" s="67"/>
      <c r="E65" s="29"/>
      <c r="F65" s="29"/>
      <c r="G65" s="67"/>
      <c r="H65" s="29"/>
      <c r="I65" s="30"/>
      <c r="J65" s="30"/>
      <c r="K65" s="30"/>
      <c r="L65" s="30"/>
      <c r="M65" s="30"/>
      <c r="N65" s="30"/>
      <c r="O65" s="30"/>
      <c r="P65" s="30"/>
      <c r="Q65" s="30"/>
    </row>
    <row r="66" spans="2:17" x14ac:dyDescent="0.3">
      <c r="B66" s="29"/>
      <c r="C66" s="29"/>
      <c r="D66" s="67"/>
      <c r="E66" s="29"/>
      <c r="F66" s="29"/>
      <c r="G66" s="67"/>
      <c r="H66" s="29"/>
      <c r="I66" s="30"/>
      <c r="J66" s="30"/>
      <c r="K66" s="30"/>
      <c r="L66" s="30"/>
      <c r="M66" s="30"/>
      <c r="N66" s="30"/>
      <c r="O66" s="30"/>
      <c r="P66" s="30"/>
      <c r="Q66" s="30"/>
    </row>
    <row r="67" spans="2:17" x14ac:dyDescent="0.3">
      <c r="B67" s="29"/>
      <c r="C67" s="29"/>
      <c r="D67" s="67"/>
      <c r="E67" s="29"/>
      <c r="F67" s="29"/>
      <c r="G67" s="67"/>
      <c r="H67" s="29"/>
      <c r="I67" s="30"/>
      <c r="J67" s="30"/>
      <c r="K67" s="30"/>
      <c r="L67" s="30"/>
      <c r="M67" s="30"/>
      <c r="N67" s="30"/>
      <c r="O67" s="30"/>
      <c r="P67" s="30"/>
      <c r="Q67" s="30"/>
    </row>
    <row r="68" spans="2:17" x14ac:dyDescent="0.3">
      <c r="B68" s="29"/>
      <c r="C68" s="29"/>
      <c r="D68" s="67"/>
      <c r="E68" s="29"/>
      <c r="F68" s="29"/>
      <c r="G68" s="67"/>
      <c r="H68" s="29"/>
      <c r="I68" s="30"/>
      <c r="J68" s="30"/>
      <c r="K68" s="30"/>
      <c r="L68" s="30"/>
      <c r="M68" s="30"/>
      <c r="N68" s="30"/>
      <c r="O68" s="30"/>
      <c r="P68" s="30"/>
      <c r="Q68" s="30"/>
    </row>
    <row r="69" spans="2:17" x14ac:dyDescent="0.3">
      <c r="B69" s="29"/>
      <c r="C69" s="29"/>
      <c r="D69" s="67"/>
      <c r="E69" s="29"/>
      <c r="F69" s="29"/>
      <c r="G69" s="67"/>
      <c r="H69" s="29"/>
      <c r="I69" s="30"/>
      <c r="J69" s="30"/>
      <c r="K69" s="30"/>
      <c r="L69" s="30"/>
      <c r="M69" s="30"/>
      <c r="N69" s="30"/>
      <c r="O69" s="30"/>
      <c r="P69" s="30"/>
      <c r="Q69" s="30"/>
    </row>
    <row r="70" spans="2:17" x14ac:dyDescent="0.3">
      <c r="B70" s="29"/>
      <c r="C70" s="29"/>
      <c r="D70" s="67"/>
      <c r="E70" s="29"/>
      <c r="F70" s="29"/>
      <c r="G70" s="67"/>
      <c r="H70" s="29"/>
      <c r="I70" s="30"/>
      <c r="J70" s="30"/>
      <c r="K70" s="30"/>
      <c r="L70" s="30"/>
      <c r="M70" s="30"/>
      <c r="N70" s="30"/>
      <c r="O70" s="30"/>
      <c r="P70" s="30"/>
      <c r="Q70" s="30"/>
    </row>
    <row r="71" spans="2:17" x14ac:dyDescent="0.3">
      <c r="B71" s="29"/>
      <c r="C71" s="29"/>
      <c r="D71" s="67"/>
      <c r="E71" s="29"/>
      <c r="F71" s="29"/>
      <c r="G71" s="67"/>
      <c r="H71" s="29"/>
      <c r="I71" s="30"/>
      <c r="J71" s="30"/>
      <c r="K71" s="30"/>
      <c r="L71" s="30"/>
      <c r="M71" s="30"/>
      <c r="N71" s="30"/>
      <c r="O71" s="30"/>
      <c r="P71" s="30"/>
      <c r="Q71" s="30"/>
    </row>
    <row r="72" spans="2:17" x14ac:dyDescent="0.3">
      <c r="B72" s="29"/>
      <c r="C72" s="29"/>
      <c r="D72" s="67"/>
      <c r="E72" s="29"/>
      <c r="F72" s="29"/>
      <c r="G72" s="67"/>
      <c r="H72" s="29"/>
      <c r="I72" s="30"/>
      <c r="J72" s="30"/>
      <c r="K72" s="30"/>
      <c r="L72" s="30"/>
      <c r="M72" s="30"/>
      <c r="N72" s="30"/>
      <c r="O72" s="30"/>
      <c r="P72" s="30"/>
      <c r="Q72" s="30"/>
    </row>
    <row r="73" spans="2:17" x14ac:dyDescent="0.3">
      <c r="B73" s="29"/>
      <c r="C73" s="29"/>
      <c r="D73" s="67"/>
      <c r="E73" s="29"/>
      <c r="F73" s="29"/>
      <c r="G73" s="67"/>
      <c r="H73" s="29"/>
      <c r="I73" s="30"/>
      <c r="J73" s="30"/>
      <c r="K73" s="30"/>
      <c r="L73" s="30"/>
      <c r="M73" s="30"/>
      <c r="N73" s="30"/>
      <c r="O73" s="30"/>
      <c r="P73" s="30"/>
      <c r="Q73" s="30"/>
    </row>
    <row r="74" spans="2:17" x14ac:dyDescent="0.3">
      <c r="B74" s="29"/>
      <c r="C74" s="29"/>
      <c r="D74" s="67"/>
      <c r="E74" s="29"/>
      <c r="F74" s="29"/>
      <c r="G74" s="67"/>
      <c r="H74" s="29"/>
      <c r="I74" s="30"/>
      <c r="J74" s="30"/>
      <c r="K74" s="30"/>
      <c r="L74" s="30"/>
      <c r="M74" s="30"/>
      <c r="N74" s="30"/>
      <c r="O74" s="30"/>
      <c r="P74" s="30"/>
      <c r="Q74" s="30"/>
    </row>
    <row r="75" spans="2:17" x14ac:dyDescent="0.3">
      <c r="B75" s="29"/>
      <c r="C75" s="29"/>
      <c r="D75" s="67"/>
      <c r="E75" s="29"/>
      <c r="F75" s="29"/>
      <c r="G75" s="67"/>
      <c r="H75" s="29"/>
      <c r="I75" s="30"/>
      <c r="J75" s="30"/>
      <c r="K75" s="30"/>
      <c r="L75" s="30"/>
      <c r="M75" s="30"/>
      <c r="N75" s="30"/>
      <c r="O75" s="30"/>
      <c r="P75" s="30"/>
      <c r="Q75" s="30"/>
    </row>
    <row r="76" spans="2:17" x14ac:dyDescent="0.3">
      <c r="B76" s="29"/>
      <c r="C76" s="29"/>
      <c r="D76" s="67"/>
      <c r="E76" s="29"/>
      <c r="F76" s="29"/>
      <c r="G76" s="67"/>
      <c r="H76" s="29"/>
      <c r="I76" s="30"/>
      <c r="J76" s="30"/>
      <c r="K76" s="30"/>
      <c r="L76" s="30"/>
      <c r="M76" s="30"/>
      <c r="N76" s="30"/>
      <c r="O76" s="30"/>
      <c r="P76" s="30"/>
      <c r="Q76" s="30"/>
    </row>
    <row r="77" spans="2:17" x14ac:dyDescent="0.3">
      <c r="B77" s="29"/>
      <c r="C77" s="29"/>
      <c r="D77" s="67"/>
      <c r="E77" s="29"/>
      <c r="F77" s="29"/>
      <c r="G77" s="67"/>
      <c r="H77" s="29"/>
      <c r="I77" s="30"/>
      <c r="J77" s="30"/>
      <c r="K77" s="30"/>
      <c r="L77" s="30"/>
      <c r="M77" s="30"/>
      <c r="N77" s="30"/>
      <c r="O77" s="30"/>
      <c r="P77" s="30"/>
      <c r="Q77" s="30"/>
    </row>
    <row r="78" spans="2:17" x14ac:dyDescent="0.3">
      <c r="B78" s="29"/>
      <c r="C78" s="29"/>
      <c r="D78" s="67"/>
      <c r="E78" s="29"/>
      <c r="F78" s="29"/>
      <c r="G78" s="67"/>
      <c r="H78" s="29"/>
      <c r="I78" s="30"/>
      <c r="J78" s="30"/>
      <c r="K78" s="30"/>
      <c r="L78" s="30"/>
      <c r="M78" s="30"/>
      <c r="N78" s="30"/>
      <c r="O78" s="30"/>
      <c r="P78" s="30"/>
      <c r="Q78" s="30"/>
    </row>
    <row r="79" spans="2:17" x14ac:dyDescent="0.3">
      <c r="B79" s="29"/>
      <c r="C79" s="29"/>
      <c r="D79" s="67"/>
      <c r="E79" s="29"/>
      <c r="F79" s="29"/>
      <c r="G79" s="67"/>
      <c r="H79" s="29"/>
      <c r="I79" s="30"/>
      <c r="J79" s="30"/>
      <c r="K79" s="30"/>
      <c r="L79" s="30"/>
      <c r="M79" s="30"/>
      <c r="N79" s="30"/>
      <c r="O79" s="30"/>
      <c r="P79" s="30"/>
      <c r="Q79" s="30"/>
    </row>
    <row r="80" spans="2:17" x14ac:dyDescent="0.3">
      <c r="B80" s="29"/>
      <c r="C80" s="29"/>
      <c r="D80" s="67"/>
      <c r="E80" s="29"/>
      <c r="F80" s="29"/>
      <c r="G80" s="67"/>
      <c r="H80" s="29"/>
      <c r="I80" s="30"/>
      <c r="J80" s="30"/>
      <c r="K80" s="30"/>
      <c r="L80" s="30"/>
      <c r="M80" s="30"/>
      <c r="N80" s="30"/>
      <c r="O80" s="30"/>
      <c r="P80" s="30"/>
      <c r="Q80" s="30"/>
    </row>
    <row r="81" spans="2:17" x14ac:dyDescent="0.3">
      <c r="B81" s="29"/>
      <c r="C81" s="29"/>
      <c r="D81" s="67"/>
      <c r="E81" s="29"/>
      <c r="F81" s="29"/>
      <c r="G81" s="67"/>
      <c r="H81" s="29"/>
      <c r="I81" s="30"/>
      <c r="J81" s="30"/>
      <c r="K81" s="30"/>
      <c r="L81" s="30"/>
      <c r="M81" s="30"/>
      <c r="N81" s="30"/>
      <c r="O81" s="30"/>
      <c r="P81" s="30"/>
      <c r="Q81" s="30"/>
    </row>
    <row r="82" spans="2:17" x14ac:dyDescent="0.3">
      <c r="B82" s="29"/>
      <c r="C82" s="29"/>
      <c r="D82" s="67"/>
      <c r="E82" s="29"/>
      <c r="F82" s="29"/>
      <c r="G82" s="67"/>
      <c r="H82" s="29"/>
      <c r="I82" s="30"/>
      <c r="J82" s="30"/>
      <c r="K82" s="30"/>
      <c r="L82" s="30"/>
      <c r="M82" s="30"/>
      <c r="N82" s="30"/>
      <c r="O82" s="30"/>
      <c r="P82" s="30"/>
      <c r="Q82" s="30"/>
    </row>
    <row r="83" spans="2:17" x14ac:dyDescent="0.3">
      <c r="B83" s="29"/>
      <c r="C83" s="29"/>
      <c r="D83" s="67"/>
      <c r="E83" s="29"/>
      <c r="F83" s="29"/>
      <c r="G83" s="67"/>
      <c r="H83" s="29"/>
      <c r="I83" s="30"/>
      <c r="J83" s="30"/>
      <c r="K83" s="30"/>
      <c r="L83" s="30"/>
      <c r="M83" s="30"/>
      <c r="N83" s="30"/>
      <c r="O83" s="30"/>
      <c r="P83" s="30"/>
      <c r="Q83" s="30"/>
    </row>
    <row r="84" spans="2:17" x14ac:dyDescent="0.3">
      <c r="B84" s="29"/>
      <c r="C84" s="29"/>
      <c r="D84" s="67"/>
      <c r="E84" s="29"/>
      <c r="F84" s="29"/>
      <c r="G84" s="67"/>
      <c r="H84" s="29"/>
      <c r="I84" s="30"/>
      <c r="J84" s="30"/>
      <c r="K84" s="30"/>
      <c r="L84" s="30"/>
      <c r="M84" s="30"/>
      <c r="N84" s="30"/>
      <c r="O84" s="30"/>
      <c r="P84" s="30"/>
      <c r="Q84" s="30"/>
    </row>
    <row r="85" spans="2:17" x14ac:dyDescent="0.3">
      <c r="B85" s="29"/>
      <c r="C85" s="29"/>
      <c r="D85" s="67"/>
      <c r="E85" s="29"/>
      <c r="F85" s="29"/>
      <c r="G85" s="67"/>
      <c r="H85" s="29"/>
      <c r="I85" s="30"/>
      <c r="J85" s="30"/>
      <c r="K85" s="30"/>
      <c r="L85" s="30"/>
      <c r="M85" s="30"/>
      <c r="N85" s="30"/>
      <c r="O85" s="30"/>
      <c r="P85" s="30"/>
      <c r="Q85" s="30"/>
    </row>
    <row r="86" spans="2:17" x14ac:dyDescent="0.3">
      <c r="B86" s="29"/>
      <c r="C86" s="29"/>
      <c r="D86" s="67"/>
      <c r="E86" s="29"/>
      <c r="F86" s="29"/>
      <c r="G86" s="67"/>
      <c r="H86" s="29"/>
      <c r="I86" s="30"/>
      <c r="J86" s="30"/>
      <c r="K86" s="30"/>
      <c r="L86" s="30"/>
      <c r="M86" s="30"/>
      <c r="N86" s="30"/>
      <c r="O86" s="30"/>
      <c r="P86" s="30"/>
      <c r="Q86" s="30"/>
    </row>
    <row r="87" spans="2:17" x14ac:dyDescent="0.3">
      <c r="B87" s="29"/>
      <c r="C87" s="29"/>
      <c r="D87" s="67"/>
      <c r="E87" s="29"/>
      <c r="F87" s="29"/>
      <c r="G87" s="67"/>
      <c r="H87" s="29"/>
      <c r="I87" s="30"/>
      <c r="J87" s="30"/>
      <c r="K87" s="30"/>
      <c r="L87" s="30"/>
      <c r="M87" s="30"/>
      <c r="N87" s="30"/>
      <c r="O87" s="30"/>
      <c r="P87" s="30"/>
      <c r="Q87" s="30"/>
    </row>
    <row r="88" spans="2:17" x14ac:dyDescent="0.3">
      <c r="B88" s="29"/>
      <c r="C88" s="29"/>
      <c r="D88" s="67"/>
      <c r="E88" s="29"/>
      <c r="F88" s="29"/>
      <c r="G88" s="67"/>
      <c r="H88" s="29"/>
      <c r="I88" s="30"/>
      <c r="J88" s="30"/>
      <c r="K88" s="30"/>
      <c r="L88" s="30"/>
      <c r="M88" s="30"/>
      <c r="N88" s="30"/>
      <c r="O88" s="30"/>
      <c r="P88" s="30"/>
      <c r="Q88" s="30"/>
    </row>
    <row r="89" spans="2:17" x14ac:dyDescent="0.3">
      <c r="B89" s="29"/>
      <c r="C89" s="29"/>
      <c r="D89" s="67"/>
      <c r="E89" s="29"/>
      <c r="F89" s="29"/>
      <c r="G89" s="67"/>
      <c r="H89" s="29"/>
      <c r="I89" s="30"/>
      <c r="J89" s="30"/>
      <c r="K89" s="30"/>
      <c r="L89" s="30"/>
      <c r="M89" s="30"/>
      <c r="N89" s="30"/>
      <c r="O89" s="30"/>
      <c r="P89" s="30"/>
      <c r="Q89" s="30"/>
    </row>
    <row r="90" spans="2:17" x14ac:dyDescent="0.3">
      <c r="B90" s="29"/>
      <c r="C90" s="29"/>
      <c r="D90" s="67"/>
      <c r="E90" s="29"/>
      <c r="F90" s="29"/>
      <c r="G90" s="67"/>
      <c r="H90" s="29"/>
      <c r="I90" s="30"/>
      <c r="J90" s="30"/>
      <c r="K90" s="30"/>
      <c r="L90" s="30"/>
      <c r="M90" s="30"/>
      <c r="N90" s="30"/>
      <c r="O90" s="30"/>
      <c r="P90" s="30"/>
      <c r="Q90" s="30"/>
    </row>
    <row r="91" spans="2:17" x14ac:dyDescent="0.3">
      <c r="B91" s="29"/>
      <c r="C91" s="29"/>
      <c r="D91" s="67"/>
      <c r="E91" s="29"/>
      <c r="F91" s="29"/>
      <c r="G91" s="67"/>
      <c r="H91" s="29"/>
      <c r="I91" s="30"/>
      <c r="J91" s="30"/>
      <c r="K91" s="30"/>
      <c r="L91" s="30"/>
      <c r="M91" s="30"/>
      <c r="N91" s="30"/>
      <c r="O91" s="30"/>
      <c r="P91" s="30"/>
      <c r="Q91" s="30"/>
    </row>
    <row r="92" spans="2:17" x14ac:dyDescent="0.3">
      <c r="B92" s="29"/>
      <c r="C92" s="29"/>
      <c r="D92" s="67"/>
      <c r="E92" s="29"/>
      <c r="F92" s="29"/>
      <c r="G92" s="67"/>
      <c r="H92" s="29"/>
      <c r="I92" s="30"/>
      <c r="J92" s="30"/>
      <c r="K92" s="30"/>
      <c r="L92" s="30"/>
      <c r="M92" s="30"/>
      <c r="N92" s="30"/>
      <c r="O92" s="30"/>
      <c r="P92" s="30"/>
      <c r="Q92" s="30"/>
    </row>
    <row r="93" spans="2:17" x14ac:dyDescent="0.3">
      <c r="B93" s="29"/>
      <c r="C93" s="29"/>
      <c r="D93" s="67"/>
      <c r="E93" s="29"/>
      <c r="F93" s="29"/>
      <c r="G93" s="67"/>
      <c r="H93" s="29"/>
      <c r="I93" s="30"/>
      <c r="J93" s="30"/>
      <c r="K93" s="30"/>
      <c r="L93" s="30"/>
      <c r="M93" s="30"/>
      <c r="N93" s="30"/>
      <c r="O93" s="30"/>
      <c r="P93" s="30"/>
      <c r="Q93" s="30"/>
    </row>
    <row r="94" spans="2:17" x14ac:dyDescent="0.3">
      <c r="B94" s="29"/>
      <c r="C94" s="29"/>
      <c r="D94" s="67"/>
      <c r="E94" s="29"/>
      <c r="F94" s="29"/>
      <c r="G94" s="67"/>
      <c r="H94" s="29"/>
      <c r="I94" s="30"/>
      <c r="J94" s="30"/>
      <c r="K94" s="30"/>
      <c r="L94" s="30"/>
      <c r="M94" s="30"/>
      <c r="N94" s="30"/>
      <c r="O94" s="30"/>
      <c r="P94" s="30"/>
      <c r="Q94" s="30"/>
    </row>
    <row r="95" spans="2:17" x14ac:dyDescent="0.3">
      <c r="B95" s="29"/>
      <c r="C95" s="29"/>
      <c r="D95" s="67"/>
      <c r="E95" s="29"/>
      <c r="F95" s="29"/>
      <c r="G95" s="67"/>
      <c r="H95" s="29"/>
      <c r="I95" s="30"/>
      <c r="J95" s="30"/>
      <c r="K95" s="30"/>
      <c r="L95" s="30"/>
      <c r="M95" s="30"/>
      <c r="N95" s="30"/>
      <c r="O95" s="30"/>
      <c r="P95" s="30"/>
      <c r="Q95" s="30"/>
    </row>
    <row r="96" spans="2:17" x14ac:dyDescent="0.3">
      <c r="B96" s="29"/>
      <c r="C96" s="29"/>
      <c r="D96" s="67"/>
      <c r="E96" s="29"/>
      <c r="F96" s="29"/>
      <c r="G96" s="67"/>
      <c r="H96" s="29"/>
      <c r="I96" s="30"/>
      <c r="J96" s="30"/>
      <c r="K96" s="30"/>
      <c r="L96" s="30"/>
      <c r="M96" s="30"/>
      <c r="N96" s="30"/>
      <c r="O96" s="30"/>
      <c r="P96" s="30"/>
      <c r="Q96" s="30"/>
    </row>
    <row r="97" spans="2:17" x14ac:dyDescent="0.3">
      <c r="B97" s="29"/>
      <c r="C97" s="29"/>
      <c r="D97" s="67"/>
      <c r="E97" s="29"/>
      <c r="F97" s="29"/>
      <c r="G97" s="67"/>
      <c r="H97" s="29"/>
      <c r="I97" s="30"/>
      <c r="J97" s="30"/>
      <c r="K97" s="30"/>
      <c r="L97" s="30"/>
      <c r="M97" s="30"/>
      <c r="N97" s="30"/>
      <c r="O97" s="30"/>
      <c r="P97" s="30"/>
      <c r="Q97" s="30"/>
    </row>
    <row r="98" spans="2:17" x14ac:dyDescent="0.3">
      <c r="B98" s="29"/>
      <c r="C98" s="29"/>
      <c r="D98" s="67"/>
      <c r="E98" s="29"/>
      <c r="F98" s="29"/>
      <c r="G98" s="67"/>
      <c r="H98" s="29"/>
      <c r="I98" s="30"/>
      <c r="J98" s="30"/>
      <c r="K98" s="30"/>
      <c r="L98" s="30"/>
      <c r="M98" s="30"/>
      <c r="N98" s="30"/>
      <c r="O98" s="30"/>
      <c r="P98" s="30"/>
      <c r="Q98" s="30"/>
    </row>
    <row r="99" spans="2:17" x14ac:dyDescent="0.3">
      <c r="B99" s="29"/>
      <c r="C99" s="29"/>
      <c r="D99" s="67"/>
      <c r="E99" s="29"/>
      <c r="F99" s="29"/>
      <c r="G99" s="67"/>
      <c r="H99" s="29"/>
      <c r="I99" s="30"/>
      <c r="J99" s="30"/>
      <c r="K99" s="30"/>
      <c r="L99" s="30"/>
      <c r="M99" s="30"/>
      <c r="N99" s="30"/>
      <c r="O99" s="30"/>
      <c r="P99" s="30"/>
      <c r="Q99" s="30"/>
    </row>
    <row r="100" spans="2:17" x14ac:dyDescent="0.3">
      <c r="B100" s="29"/>
      <c r="C100" s="29"/>
      <c r="D100" s="67"/>
      <c r="E100" s="29"/>
      <c r="F100" s="29"/>
      <c r="G100" s="67"/>
      <c r="H100" s="29"/>
      <c r="I100" s="30"/>
      <c r="J100" s="30"/>
      <c r="K100" s="30"/>
      <c r="L100" s="30"/>
      <c r="M100" s="30"/>
      <c r="N100" s="30"/>
      <c r="O100" s="30"/>
      <c r="P100" s="30"/>
      <c r="Q100" s="30"/>
    </row>
    <row r="101" spans="2:17" x14ac:dyDescent="0.3">
      <c r="B101" s="29"/>
      <c r="C101" s="29"/>
      <c r="D101" s="67"/>
      <c r="E101" s="29"/>
      <c r="F101" s="29"/>
      <c r="G101" s="67"/>
      <c r="H101" s="29"/>
      <c r="I101" s="30"/>
      <c r="J101" s="30"/>
      <c r="K101" s="30"/>
      <c r="L101" s="30"/>
      <c r="M101" s="30"/>
      <c r="N101" s="30"/>
      <c r="O101" s="30"/>
      <c r="P101" s="30"/>
      <c r="Q101" s="30"/>
    </row>
    <row r="102" spans="2:17" x14ac:dyDescent="0.3">
      <c r="B102" s="29"/>
      <c r="C102" s="29"/>
      <c r="D102" s="67"/>
      <c r="E102" s="29"/>
      <c r="F102" s="29"/>
      <c r="G102" s="67"/>
      <c r="H102" s="29"/>
      <c r="I102" s="30"/>
      <c r="J102" s="30"/>
      <c r="K102" s="30"/>
      <c r="L102" s="30"/>
      <c r="M102" s="30"/>
      <c r="N102" s="30"/>
      <c r="O102" s="30"/>
      <c r="P102" s="30"/>
      <c r="Q102" s="30"/>
    </row>
    <row r="103" spans="2:17" x14ac:dyDescent="0.3">
      <c r="B103" s="29"/>
      <c r="C103" s="29"/>
      <c r="D103" s="67"/>
      <c r="E103" s="29"/>
      <c r="F103" s="29"/>
      <c r="G103" s="67"/>
      <c r="H103" s="29"/>
      <c r="I103" s="30"/>
      <c r="J103" s="30"/>
      <c r="K103" s="30"/>
      <c r="L103" s="30"/>
      <c r="M103" s="30"/>
      <c r="N103" s="30"/>
      <c r="O103" s="30"/>
      <c r="P103" s="30"/>
      <c r="Q103" s="30"/>
    </row>
    <row r="104" spans="2:17" x14ac:dyDescent="0.3">
      <c r="B104" s="29"/>
      <c r="C104" s="29"/>
      <c r="D104" s="67"/>
      <c r="E104" s="29"/>
      <c r="F104" s="29"/>
      <c r="G104" s="67"/>
      <c r="H104" s="29"/>
      <c r="I104" s="30"/>
      <c r="J104" s="30"/>
      <c r="K104" s="30"/>
      <c r="L104" s="30"/>
      <c r="M104" s="30"/>
      <c r="N104" s="30"/>
      <c r="O104" s="30"/>
      <c r="P104" s="30"/>
      <c r="Q104" s="30"/>
    </row>
    <row r="105" spans="2:17" x14ac:dyDescent="0.3">
      <c r="B105" s="29"/>
      <c r="C105" s="29"/>
      <c r="D105" s="67"/>
      <c r="E105" s="29"/>
      <c r="F105" s="29"/>
      <c r="G105" s="67"/>
      <c r="H105" s="29"/>
      <c r="I105" s="30"/>
      <c r="J105" s="30"/>
      <c r="K105" s="30"/>
      <c r="L105" s="30"/>
      <c r="M105" s="30"/>
      <c r="N105" s="30"/>
      <c r="O105" s="30"/>
      <c r="P105" s="30"/>
      <c r="Q105" s="30"/>
    </row>
    <row r="106" spans="2:17" x14ac:dyDescent="0.3">
      <c r="B106" s="29"/>
      <c r="C106" s="29"/>
      <c r="D106" s="67"/>
      <c r="E106" s="29"/>
      <c r="F106" s="29"/>
      <c r="G106" s="67"/>
      <c r="H106" s="29"/>
      <c r="I106" s="30"/>
      <c r="J106" s="30"/>
      <c r="K106" s="30"/>
      <c r="L106" s="30"/>
      <c r="M106" s="30"/>
      <c r="N106" s="30"/>
      <c r="O106" s="30"/>
      <c r="P106" s="30"/>
      <c r="Q106" s="30"/>
    </row>
    <row r="107" spans="2:17" x14ac:dyDescent="0.3">
      <c r="B107" s="29"/>
      <c r="C107" s="29"/>
      <c r="D107" s="67"/>
      <c r="E107" s="29"/>
      <c r="F107" s="29"/>
      <c r="G107" s="67"/>
      <c r="H107" s="29"/>
      <c r="I107" s="30"/>
      <c r="J107" s="30"/>
      <c r="K107" s="30"/>
      <c r="L107" s="30"/>
      <c r="M107" s="30"/>
      <c r="N107" s="30"/>
      <c r="O107" s="30"/>
      <c r="P107" s="30"/>
      <c r="Q107" s="30"/>
    </row>
    <row r="108" spans="2:17" x14ac:dyDescent="0.3">
      <c r="B108" s="29"/>
      <c r="C108" s="29"/>
      <c r="D108" s="67"/>
      <c r="E108" s="29"/>
      <c r="F108" s="29"/>
      <c r="G108" s="67"/>
      <c r="H108" s="29"/>
      <c r="I108" s="30"/>
      <c r="J108" s="30"/>
      <c r="K108" s="30"/>
      <c r="L108" s="30"/>
      <c r="M108" s="30"/>
      <c r="N108" s="30"/>
      <c r="O108" s="30"/>
      <c r="P108" s="30"/>
      <c r="Q108" s="30"/>
    </row>
    <row r="109" spans="2:17" x14ac:dyDescent="0.3">
      <c r="B109" s="29"/>
      <c r="C109" s="29"/>
      <c r="D109" s="67"/>
      <c r="E109" s="29"/>
      <c r="F109" s="29"/>
      <c r="G109" s="67"/>
      <c r="H109" s="29"/>
      <c r="I109" s="30"/>
      <c r="J109" s="30"/>
      <c r="K109" s="30"/>
      <c r="L109" s="30"/>
      <c r="M109" s="30"/>
      <c r="N109" s="30"/>
      <c r="O109" s="30"/>
      <c r="P109" s="30"/>
      <c r="Q109" s="30"/>
    </row>
    <row r="110" spans="2:17" x14ac:dyDescent="0.3">
      <c r="B110" s="29"/>
      <c r="C110" s="29"/>
      <c r="D110" s="67"/>
      <c r="E110" s="29"/>
      <c r="F110" s="29"/>
      <c r="G110" s="67"/>
      <c r="H110" s="29"/>
      <c r="I110" s="30"/>
      <c r="J110" s="30"/>
      <c r="K110" s="30"/>
      <c r="L110" s="30"/>
      <c r="M110" s="30"/>
      <c r="N110" s="30"/>
      <c r="O110" s="30"/>
      <c r="P110" s="30"/>
      <c r="Q110" s="30"/>
    </row>
    <row r="111" spans="2:17" x14ac:dyDescent="0.3">
      <c r="B111" s="29"/>
      <c r="C111" s="29"/>
      <c r="D111" s="67"/>
      <c r="E111" s="29"/>
      <c r="F111" s="29"/>
      <c r="G111" s="67"/>
      <c r="H111" s="29"/>
      <c r="I111" s="30"/>
      <c r="J111" s="30"/>
      <c r="K111" s="30"/>
      <c r="L111" s="30"/>
      <c r="M111" s="30"/>
      <c r="N111" s="30"/>
      <c r="O111" s="30"/>
      <c r="P111" s="30"/>
      <c r="Q111" s="30"/>
    </row>
    <row r="112" spans="2:17" x14ac:dyDescent="0.3">
      <c r="B112" s="29"/>
      <c r="C112" s="29"/>
      <c r="D112" s="67"/>
      <c r="E112" s="29"/>
      <c r="F112" s="29"/>
      <c r="G112" s="67"/>
      <c r="H112" s="29"/>
      <c r="I112" s="30"/>
      <c r="J112" s="30"/>
      <c r="K112" s="30"/>
      <c r="L112" s="30"/>
      <c r="M112" s="30"/>
      <c r="N112" s="30"/>
      <c r="O112" s="30"/>
      <c r="P112" s="30"/>
      <c r="Q112" s="30"/>
    </row>
    <row r="113" spans="2:17" x14ac:dyDescent="0.3">
      <c r="B113" s="29"/>
      <c r="C113" s="29"/>
      <c r="D113" s="67"/>
      <c r="E113" s="29"/>
      <c r="F113" s="29"/>
      <c r="G113" s="67"/>
      <c r="H113" s="29"/>
      <c r="I113" s="30"/>
      <c r="J113" s="30"/>
      <c r="K113" s="30"/>
      <c r="L113" s="30"/>
      <c r="M113" s="30"/>
      <c r="N113" s="30"/>
      <c r="O113" s="30"/>
      <c r="P113" s="30"/>
      <c r="Q113" s="30"/>
    </row>
    <row r="114" spans="2:17" x14ac:dyDescent="0.3">
      <c r="B114" s="29"/>
      <c r="C114" s="29"/>
      <c r="D114" s="67"/>
      <c r="E114" s="29"/>
      <c r="F114" s="29"/>
      <c r="G114" s="67"/>
      <c r="H114" s="29"/>
      <c r="I114" s="30"/>
      <c r="J114" s="30"/>
      <c r="K114" s="30"/>
      <c r="L114" s="30"/>
      <c r="M114" s="30"/>
      <c r="N114" s="30"/>
      <c r="O114" s="30"/>
      <c r="P114" s="30"/>
      <c r="Q114" s="30"/>
    </row>
    <row r="115" spans="2:17" x14ac:dyDescent="0.3">
      <c r="B115" s="29"/>
      <c r="C115" s="29"/>
      <c r="D115" s="67"/>
      <c r="E115" s="29"/>
      <c r="F115" s="29"/>
      <c r="G115" s="67"/>
      <c r="H115" s="29"/>
      <c r="I115" s="30"/>
      <c r="J115" s="30"/>
      <c r="K115" s="30"/>
      <c r="L115" s="30"/>
      <c r="M115" s="30"/>
      <c r="N115" s="30"/>
      <c r="O115" s="30"/>
      <c r="P115" s="30"/>
      <c r="Q115" s="30"/>
    </row>
    <row r="116" spans="2:17" x14ac:dyDescent="0.3">
      <c r="B116" s="29"/>
      <c r="C116" s="29"/>
      <c r="D116" s="67"/>
      <c r="E116" s="29"/>
      <c r="F116" s="29"/>
      <c r="G116" s="67"/>
      <c r="H116" s="29"/>
      <c r="I116" s="30"/>
      <c r="J116" s="30"/>
      <c r="K116" s="30"/>
      <c r="L116" s="30"/>
      <c r="M116" s="30"/>
      <c r="N116" s="30"/>
      <c r="O116" s="30"/>
      <c r="P116" s="30"/>
      <c r="Q116" s="30"/>
    </row>
    <row r="117" spans="2:17" x14ac:dyDescent="0.3">
      <c r="B117" s="29"/>
      <c r="C117" s="29"/>
      <c r="D117" s="67"/>
      <c r="E117" s="29"/>
      <c r="F117" s="29"/>
      <c r="G117" s="67"/>
      <c r="H117" s="29"/>
      <c r="I117" s="30"/>
      <c r="J117" s="30"/>
      <c r="K117" s="30"/>
      <c r="L117" s="30"/>
      <c r="M117" s="30"/>
      <c r="N117" s="30"/>
      <c r="O117" s="30"/>
      <c r="P117" s="30"/>
      <c r="Q117" s="30"/>
    </row>
    <row r="118" spans="2:17" x14ac:dyDescent="0.3">
      <c r="B118" s="29"/>
      <c r="C118" s="29"/>
      <c r="D118" s="67"/>
      <c r="E118" s="29"/>
      <c r="F118" s="29"/>
      <c r="G118" s="67"/>
      <c r="H118" s="29"/>
      <c r="I118" s="30"/>
      <c r="J118" s="30"/>
      <c r="K118" s="30"/>
      <c r="L118" s="30"/>
      <c r="M118" s="30"/>
      <c r="N118" s="30"/>
      <c r="O118" s="30"/>
      <c r="P118" s="30"/>
      <c r="Q118" s="30"/>
    </row>
    <row r="119" spans="2:17" x14ac:dyDescent="0.3">
      <c r="B119" s="29"/>
      <c r="C119" s="29"/>
      <c r="D119" s="67"/>
      <c r="E119" s="29"/>
      <c r="F119" s="29"/>
      <c r="G119" s="67"/>
      <c r="H119" s="29"/>
      <c r="I119" s="30"/>
      <c r="J119" s="30"/>
      <c r="K119" s="30"/>
      <c r="L119" s="30"/>
      <c r="M119" s="30"/>
      <c r="N119" s="30"/>
      <c r="O119" s="30"/>
      <c r="P119" s="30"/>
      <c r="Q119" s="30"/>
    </row>
    <row r="120" spans="2:17" x14ac:dyDescent="0.3">
      <c r="B120" s="29"/>
      <c r="C120" s="29"/>
      <c r="D120" s="67"/>
      <c r="E120" s="29"/>
      <c r="F120" s="29"/>
      <c r="G120" s="67"/>
      <c r="H120" s="29"/>
      <c r="I120" s="30"/>
      <c r="J120" s="30"/>
      <c r="K120" s="30"/>
      <c r="L120" s="30"/>
      <c r="M120" s="30"/>
      <c r="N120" s="30"/>
      <c r="O120" s="30"/>
      <c r="P120" s="30"/>
      <c r="Q120" s="30"/>
    </row>
    <row r="121" spans="2:17" x14ac:dyDescent="0.3">
      <c r="B121" s="29"/>
      <c r="C121" s="29"/>
      <c r="D121" s="67"/>
      <c r="E121" s="29"/>
      <c r="F121" s="29"/>
      <c r="G121" s="67"/>
      <c r="H121" s="29"/>
      <c r="I121" s="30"/>
      <c r="J121" s="30"/>
      <c r="K121" s="30"/>
      <c r="L121" s="30"/>
      <c r="M121" s="30"/>
      <c r="N121" s="30"/>
      <c r="O121" s="30"/>
      <c r="P121" s="30"/>
      <c r="Q121" s="30"/>
    </row>
    <row r="122" spans="2:17" x14ac:dyDescent="0.3">
      <c r="B122" s="29"/>
      <c r="C122" s="29"/>
      <c r="D122" s="67"/>
      <c r="E122" s="29"/>
      <c r="F122" s="29"/>
      <c r="G122" s="67"/>
      <c r="H122" s="29"/>
      <c r="I122" s="30"/>
      <c r="J122" s="30"/>
      <c r="K122" s="30"/>
      <c r="L122" s="30"/>
      <c r="M122" s="30"/>
      <c r="N122" s="30"/>
      <c r="O122" s="30"/>
      <c r="P122" s="30"/>
      <c r="Q122" s="30"/>
    </row>
    <row r="123" spans="2:17" x14ac:dyDescent="0.3">
      <c r="B123" s="29"/>
      <c r="C123" s="29"/>
      <c r="D123" s="67"/>
      <c r="E123" s="29"/>
      <c r="F123" s="29"/>
      <c r="G123" s="67"/>
      <c r="H123" s="29"/>
      <c r="I123" s="30"/>
      <c r="J123" s="30"/>
      <c r="K123" s="30"/>
      <c r="L123" s="30"/>
      <c r="M123" s="30"/>
      <c r="N123" s="30"/>
      <c r="O123" s="30"/>
      <c r="P123" s="30"/>
      <c r="Q123" s="30"/>
    </row>
    <row r="124" spans="2:17" x14ac:dyDescent="0.3">
      <c r="B124" s="29"/>
      <c r="C124" s="29"/>
      <c r="D124" s="67"/>
      <c r="E124" s="29"/>
      <c r="F124" s="29"/>
      <c r="G124" s="67"/>
      <c r="H124" s="29"/>
      <c r="I124" s="30"/>
      <c r="J124" s="30"/>
      <c r="K124" s="30"/>
      <c r="L124" s="30"/>
      <c r="M124" s="30"/>
      <c r="N124" s="30"/>
      <c r="O124" s="30"/>
      <c r="P124" s="30"/>
      <c r="Q124" s="30"/>
    </row>
    <row r="125" spans="2:17" x14ac:dyDescent="0.3">
      <c r="B125" s="29"/>
      <c r="C125" s="29"/>
      <c r="D125" s="67"/>
      <c r="E125" s="29"/>
      <c r="F125" s="29"/>
      <c r="G125" s="67"/>
      <c r="H125" s="29"/>
      <c r="I125" s="30"/>
      <c r="J125" s="30"/>
      <c r="K125" s="30"/>
      <c r="L125" s="30"/>
      <c r="M125" s="30"/>
      <c r="N125" s="30"/>
      <c r="O125" s="30"/>
      <c r="P125" s="30"/>
      <c r="Q125" s="30"/>
    </row>
    <row r="126" spans="2:17" x14ac:dyDescent="0.3">
      <c r="B126" s="29"/>
      <c r="C126" s="29"/>
      <c r="D126" s="67"/>
      <c r="E126" s="29"/>
      <c r="F126" s="29"/>
      <c r="G126" s="67"/>
      <c r="H126" s="29"/>
      <c r="I126" s="30"/>
      <c r="J126" s="30"/>
      <c r="K126" s="30"/>
      <c r="L126" s="30"/>
      <c r="M126" s="30"/>
      <c r="N126" s="30"/>
      <c r="O126" s="30"/>
      <c r="P126" s="30"/>
      <c r="Q126" s="30"/>
    </row>
    <row r="127" spans="2:17" x14ac:dyDescent="0.3">
      <c r="B127" s="29"/>
      <c r="C127" s="29"/>
      <c r="D127" s="67"/>
      <c r="E127" s="29"/>
      <c r="F127" s="29"/>
      <c r="G127" s="67"/>
      <c r="H127" s="29"/>
      <c r="I127" s="30"/>
      <c r="J127" s="30"/>
      <c r="K127" s="30"/>
      <c r="L127" s="30"/>
      <c r="M127" s="30"/>
      <c r="N127" s="30"/>
      <c r="O127" s="30"/>
      <c r="P127" s="30"/>
      <c r="Q127" s="30"/>
    </row>
    <row r="128" spans="2:17" x14ac:dyDescent="0.3">
      <c r="B128" s="29"/>
      <c r="C128" s="29"/>
      <c r="D128" s="67"/>
      <c r="E128" s="29"/>
      <c r="F128" s="29"/>
      <c r="G128" s="67"/>
      <c r="H128" s="29"/>
      <c r="I128" s="30"/>
      <c r="J128" s="30"/>
      <c r="K128" s="30"/>
      <c r="L128" s="30"/>
      <c r="M128" s="30"/>
      <c r="N128" s="30"/>
      <c r="O128" s="30"/>
      <c r="P128" s="30"/>
      <c r="Q128" s="30"/>
    </row>
    <row r="129" spans="2:17" x14ac:dyDescent="0.3">
      <c r="B129" s="29"/>
      <c r="C129" s="29"/>
      <c r="D129" s="67"/>
      <c r="E129" s="29"/>
      <c r="F129" s="29"/>
      <c r="G129" s="67"/>
      <c r="H129" s="29"/>
      <c r="I129" s="30"/>
      <c r="J129" s="30"/>
      <c r="K129" s="30"/>
      <c r="L129" s="30"/>
      <c r="M129" s="30"/>
      <c r="N129" s="30"/>
      <c r="O129" s="30"/>
      <c r="P129" s="30"/>
      <c r="Q129" s="30"/>
    </row>
    <row r="130" spans="2:17" x14ac:dyDescent="0.3">
      <c r="B130" s="29"/>
      <c r="C130" s="29"/>
      <c r="D130" s="67"/>
      <c r="E130" s="29"/>
      <c r="F130" s="29"/>
      <c r="G130" s="67"/>
      <c r="H130" s="29"/>
      <c r="I130" s="30"/>
      <c r="J130" s="30"/>
      <c r="K130" s="30"/>
      <c r="L130" s="30"/>
      <c r="M130" s="30"/>
      <c r="N130" s="30"/>
      <c r="O130" s="30"/>
      <c r="P130" s="30"/>
      <c r="Q130" s="30"/>
    </row>
    <row r="131" spans="2:17" x14ac:dyDescent="0.3">
      <c r="B131" s="29"/>
      <c r="C131" s="29"/>
      <c r="D131" s="67"/>
      <c r="E131" s="29"/>
      <c r="F131" s="29"/>
      <c r="G131" s="67"/>
      <c r="H131" s="29"/>
      <c r="I131" s="30"/>
      <c r="J131" s="30"/>
      <c r="K131" s="30"/>
      <c r="L131" s="30"/>
      <c r="M131" s="30"/>
      <c r="N131" s="30"/>
      <c r="O131" s="30"/>
      <c r="P131" s="30"/>
      <c r="Q131" s="30"/>
    </row>
    <row r="132" spans="2:17" x14ac:dyDescent="0.3">
      <c r="B132" s="29"/>
      <c r="C132" s="29"/>
      <c r="D132" s="67"/>
      <c r="E132" s="29"/>
      <c r="F132" s="29"/>
      <c r="G132" s="67"/>
      <c r="H132" s="29"/>
      <c r="I132" s="30"/>
      <c r="J132" s="30"/>
      <c r="K132" s="30"/>
      <c r="L132" s="30"/>
      <c r="M132" s="30"/>
      <c r="N132" s="30"/>
      <c r="O132" s="30"/>
      <c r="P132" s="30"/>
      <c r="Q132" s="30"/>
    </row>
    <row r="133" spans="2:17" x14ac:dyDescent="0.3">
      <c r="B133" s="29"/>
      <c r="C133" s="29"/>
      <c r="D133" s="67"/>
      <c r="E133" s="29"/>
      <c r="F133" s="29"/>
      <c r="G133" s="67"/>
      <c r="H133" s="29"/>
      <c r="I133" s="30"/>
      <c r="J133" s="30"/>
      <c r="K133" s="30"/>
      <c r="L133" s="30"/>
      <c r="M133" s="30"/>
      <c r="N133" s="30"/>
      <c r="O133" s="30"/>
      <c r="P133" s="30"/>
      <c r="Q133" s="30"/>
    </row>
    <row r="134" spans="2:17" x14ac:dyDescent="0.3">
      <c r="B134" s="29"/>
      <c r="C134" s="29"/>
      <c r="D134" s="67"/>
      <c r="E134" s="29"/>
      <c r="F134" s="29"/>
      <c r="G134" s="67"/>
      <c r="H134" s="29"/>
      <c r="I134" s="30"/>
      <c r="J134" s="30"/>
      <c r="K134" s="30"/>
      <c r="L134" s="30"/>
      <c r="M134" s="30"/>
      <c r="N134" s="30"/>
      <c r="O134" s="30"/>
      <c r="P134" s="30"/>
      <c r="Q134" s="30"/>
    </row>
    <row r="135" spans="2:17" x14ac:dyDescent="0.3">
      <c r="B135" s="29"/>
      <c r="C135" s="29"/>
      <c r="D135" s="67"/>
      <c r="E135" s="29"/>
      <c r="F135" s="29"/>
      <c r="G135" s="67"/>
      <c r="H135" s="29"/>
      <c r="I135" s="30"/>
      <c r="J135" s="30"/>
      <c r="K135" s="30"/>
      <c r="L135" s="30"/>
      <c r="M135" s="30"/>
      <c r="N135" s="30"/>
      <c r="O135" s="30"/>
      <c r="P135" s="30"/>
      <c r="Q135" s="30"/>
    </row>
    <row r="136" spans="2:17" x14ac:dyDescent="0.3">
      <c r="B136" s="29"/>
      <c r="C136" s="29"/>
      <c r="D136" s="67"/>
      <c r="E136" s="29"/>
      <c r="F136" s="29"/>
      <c r="G136" s="67"/>
      <c r="H136" s="29"/>
      <c r="I136" s="30"/>
      <c r="J136" s="30"/>
      <c r="K136" s="30"/>
      <c r="L136" s="30"/>
      <c r="M136" s="30"/>
      <c r="N136" s="30"/>
      <c r="O136" s="30"/>
      <c r="P136" s="30"/>
      <c r="Q136" s="30"/>
    </row>
    <row r="137" spans="2:17" x14ac:dyDescent="0.3">
      <c r="B137" s="29"/>
      <c r="C137" s="29"/>
      <c r="D137" s="67"/>
      <c r="E137" s="29"/>
      <c r="F137" s="29"/>
      <c r="G137" s="67"/>
      <c r="H137" s="29"/>
      <c r="I137" s="30"/>
      <c r="J137" s="30"/>
      <c r="K137" s="30"/>
      <c r="L137" s="30"/>
      <c r="M137" s="30"/>
      <c r="N137" s="30"/>
      <c r="O137" s="30"/>
      <c r="P137" s="30"/>
      <c r="Q137" s="30"/>
    </row>
    <row r="138" spans="2:17" x14ac:dyDescent="0.3">
      <c r="B138" s="29"/>
      <c r="C138" s="29"/>
      <c r="D138" s="67"/>
      <c r="E138" s="29"/>
      <c r="F138" s="29"/>
      <c r="G138" s="67"/>
      <c r="H138" s="29"/>
      <c r="I138" s="30"/>
      <c r="J138" s="30"/>
      <c r="K138" s="30"/>
      <c r="L138" s="30"/>
      <c r="M138" s="30"/>
      <c r="N138" s="30"/>
      <c r="O138" s="30"/>
      <c r="P138" s="30"/>
      <c r="Q138" s="30"/>
    </row>
    <row r="139" spans="2:17" x14ac:dyDescent="0.3">
      <c r="B139" s="29"/>
      <c r="C139" s="29"/>
      <c r="D139" s="67"/>
      <c r="E139" s="29"/>
      <c r="F139" s="29"/>
      <c r="G139" s="67"/>
      <c r="H139" s="29"/>
      <c r="I139" s="30"/>
      <c r="J139" s="30"/>
      <c r="K139" s="30"/>
      <c r="L139" s="30"/>
      <c r="M139" s="30"/>
      <c r="N139" s="30"/>
      <c r="O139" s="30"/>
      <c r="P139" s="30"/>
      <c r="Q139" s="30"/>
    </row>
    <row r="140" spans="2:17" x14ac:dyDescent="0.3">
      <c r="B140" s="29"/>
      <c r="C140" s="29"/>
      <c r="D140" s="67"/>
      <c r="E140" s="29"/>
      <c r="F140" s="29"/>
      <c r="G140" s="67"/>
      <c r="H140" s="29"/>
      <c r="I140" s="30"/>
      <c r="J140" s="30"/>
      <c r="K140" s="30"/>
      <c r="L140" s="30"/>
      <c r="M140" s="30"/>
      <c r="N140" s="30"/>
      <c r="O140" s="30"/>
      <c r="P140" s="30"/>
      <c r="Q140" s="30"/>
    </row>
    <row r="141" spans="2:17" x14ac:dyDescent="0.3">
      <c r="B141" s="29"/>
      <c r="C141" s="29"/>
      <c r="D141" s="67"/>
      <c r="E141" s="29"/>
      <c r="F141" s="29"/>
      <c r="G141" s="67"/>
      <c r="H141" s="29"/>
      <c r="I141" s="30"/>
      <c r="J141" s="30"/>
      <c r="K141" s="30"/>
      <c r="L141" s="30"/>
      <c r="M141" s="30"/>
      <c r="N141" s="30"/>
      <c r="O141" s="30"/>
      <c r="P141" s="30"/>
      <c r="Q141" s="30"/>
    </row>
    <row r="142" spans="2:17" x14ac:dyDescent="0.3">
      <c r="B142" s="29"/>
      <c r="C142" s="29"/>
      <c r="D142" s="67"/>
      <c r="E142" s="29"/>
      <c r="F142" s="29"/>
      <c r="G142" s="67"/>
      <c r="H142" s="29"/>
      <c r="I142" s="30"/>
      <c r="J142" s="30"/>
      <c r="K142" s="30"/>
      <c r="L142" s="30"/>
      <c r="M142" s="30"/>
      <c r="N142" s="30"/>
      <c r="O142" s="30"/>
      <c r="P142" s="30"/>
      <c r="Q142" s="30"/>
    </row>
    <row r="143" spans="2:17" x14ac:dyDescent="0.3">
      <c r="B143" s="29"/>
      <c r="C143" s="29"/>
      <c r="D143" s="67"/>
      <c r="E143" s="29"/>
      <c r="F143" s="29"/>
      <c r="G143" s="67"/>
      <c r="H143" s="29"/>
      <c r="I143" s="30"/>
      <c r="J143" s="30"/>
      <c r="K143" s="30"/>
      <c r="L143" s="30"/>
      <c r="M143" s="30"/>
      <c r="N143" s="30"/>
      <c r="O143" s="30"/>
      <c r="P143" s="30"/>
      <c r="Q143" s="30"/>
    </row>
    <row r="144" spans="2:17" x14ac:dyDescent="0.3">
      <c r="B144" s="29"/>
      <c r="C144" s="29"/>
      <c r="D144" s="67"/>
      <c r="E144" s="29"/>
      <c r="F144" s="29"/>
      <c r="G144" s="67"/>
      <c r="H144" s="29"/>
      <c r="I144" s="30"/>
      <c r="J144" s="30"/>
      <c r="K144" s="30"/>
      <c r="L144" s="30"/>
      <c r="M144" s="30"/>
      <c r="N144" s="30"/>
      <c r="O144" s="30"/>
      <c r="P144" s="30"/>
      <c r="Q144" s="30"/>
    </row>
    <row r="145" spans="2:17" x14ac:dyDescent="0.3">
      <c r="B145" s="29"/>
      <c r="C145" s="29"/>
      <c r="D145" s="67"/>
      <c r="E145" s="29"/>
      <c r="F145" s="29"/>
      <c r="G145" s="67"/>
      <c r="H145" s="29"/>
      <c r="I145" s="30"/>
      <c r="J145" s="30"/>
      <c r="K145" s="30"/>
      <c r="L145" s="30"/>
      <c r="M145" s="30"/>
      <c r="N145" s="30"/>
      <c r="O145" s="30"/>
      <c r="P145" s="30"/>
      <c r="Q145" s="30"/>
    </row>
    <row r="146" spans="2:17" x14ac:dyDescent="0.3">
      <c r="B146" s="29"/>
      <c r="C146" s="29"/>
      <c r="D146" s="67"/>
      <c r="E146" s="29"/>
      <c r="F146" s="29"/>
      <c r="G146" s="67"/>
      <c r="H146" s="29"/>
      <c r="I146" s="30"/>
      <c r="J146" s="30"/>
      <c r="K146" s="30"/>
      <c r="L146" s="30"/>
      <c r="M146" s="30"/>
      <c r="N146" s="30"/>
      <c r="O146" s="30"/>
      <c r="P146" s="30"/>
      <c r="Q146" s="30"/>
    </row>
    <row r="147" spans="2:17" x14ac:dyDescent="0.3">
      <c r="B147" s="29"/>
      <c r="C147" s="29"/>
      <c r="D147" s="67"/>
      <c r="E147" s="29"/>
      <c r="F147" s="29"/>
      <c r="G147" s="67"/>
      <c r="H147" s="29"/>
      <c r="I147" s="30"/>
      <c r="J147" s="30"/>
      <c r="K147" s="30"/>
      <c r="L147" s="30"/>
      <c r="M147" s="30"/>
      <c r="N147" s="30"/>
      <c r="O147" s="30"/>
      <c r="P147" s="30"/>
      <c r="Q147" s="30"/>
    </row>
    <row r="148" spans="2:17" x14ac:dyDescent="0.3">
      <c r="B148" s="29"/>
      <c r="C148" s="29"/>
      <c r="D148" s="67"/>
      <c r="E148" s="29"/>
      <c r="F148" s="29"/>
      <c r="G148" s="67"/>
      <c r="H148" s="29"/>
      <c r="I148" s="30"/>
      <c r="J148" s="30"/>
      <c r="K148" s="30"/>
      <c r="L148" s="30"/>
      <c r="M148" s="30"/>
      <c r="N148" s="30"/>
      <c r="O148" s="30"/>
      <c r="P148" s="30"/>
      <c r="Q148" s="30"/>
    </row>
    <row r="149" spans="2:17" x14ac:dyDescent="0.3">
      <c r="B149" s="29"/>
      <c r="C149" s="29"/>
      <c r="D149" s="67"/>
      <c r="E149" s="29"/>
      <c r="F149" s="29"/>
      <c r="G149" s="67"/>
      <c r="H149" s="29"/>
      <c r="I149" s="30"/>
      <c r="J149" s="30"/>
      <c r="K149" s="30"/>
      <c r="L149" s="30"/>
      <c r="M149" s="30"/>
      <c r="N149" s="30"/>
      <c r="O149" s="30"/>
      <c r="P149" s="30"/>
      <c r="Q149" s="30"/>
    </row>
    <row r="150" spans="2:17" x14ac:dyDescent="0.3">
      <c r="B150" s="29"/>
      <c r="C150" s="29"/>
      <c r="D150" s="67"/>
      <c r="E150" s="29"/>
      <c r="F150" s="29"/>
      <c r="G150" s="67"/>
      <c r="H150" s="29"/>
      <c r="I150" s="30"/>
      <c r="J150" s="30"/>
      <c r="K150" s="30"/>
      <c r="L150" s="30"/>
      <c r="M150" s="30"/>
      <c r="N150" s="30"/>
      <c r="O150" s="30"/>
      <c r="P150" s="30"/>
      <c r="Q150" s="30"/>
    </row>
    <row r="151" spans="2:17" x14ac:dyDescent="0.3">
      <c r="B151" s="29"/>
      <c r="C151" s="29"/>
      <c r="D151" s="67"/>
      <c r="E151" s="29"/>
      <c r="F151" s="29"/>
      <c r="G151" s="67"/>
      <c r="H151" s="29"/>
      <c r="I151" s="30"/>
      <c r="J151" s="30"/>
      <c r="K151" s="30"/>
      <c r="L151" s="30"/>
      <c r="M151" s="30"/>
      <c r="N151" s="30"/>
      <c r="O151" s="30"/>
      <c r="P151" s="30"/>
      <c r="Q151" s="30"/>
    </row>
    <row r="152" spans="2:17" x14ac:dyDescent="0.3">
      <c r="B152" s="29"/>
      <c r="C152" s="29"/>
      <c r="D152" s="67"/>
      <c r="E152" s="29"/>
      <c r="F152" s="29"/>
      <c r="G152" s="67"/>
      <c r="H152" s="29"/>
      <c r="I152" s="30"/>
      <c r="J152" s="30"/>
      <c r="K152" s="30"/>
      <c r="L152" s="30"/>
      <c r="M152" s="30"/>
      <c r="N152" s="30"/>
      <c r="O152" s="30"/>
      <c r="P152" s="30"/>
      <c r="Q152" s="30"/>
    </row>
    <row r="153" spans="2:17" x14ac:dyDescent="0.3">
      <c r="B153" s="29"/>
      <c r="C153" s="29"/>
      <c r="D153" s="67"/>
      <c r="E153" s="29"/>
      <c r="F153" s="29"/>
      <c r="G153" s="67"/>
      <c r="H153" s="29"/>
      <c r="I153" s="30"/>
      <c r="J153" s="30"/>
      <c r="K153" s="30"/>
      <c r="L153" s="30"/>
      <c r="M153" s="30"/>
      <c r="N153" s="30"/>
      <c r="O153" s="30"/>
      <c r="P153" s="30"/>
      <c r="Q153" s="30"/>
    </row>
    <row r="154" spans="2:17" x14ac:dyDescent="0.3">
      <c r="B154" s="29"/>
      <c r="C154" s="29"/>
      <c r="D154" s="67"/>
      <c r="E154" s="29"/>
      <c r="F154" s="29"/>
      <c r="G154" s="67"/>
      <c r="H154" s="29"/>
      <c r="I154" s="30"/>
      <c r="J154" s="30"/>
      <c r="K154" s="30"/>
      <c r="L154" s="30"/>
      <c r="M154" s="30"/>
      <c r="N154" s="30"/>
      <c r="O154" s="30"/>
      <c r="P154" s="30"/>
      <c r="Q154" s="30"/>
    </row>
    <row r="155" spans="2:17" x14ac:dyDescent="0.3">
      <c r="B155" s="29"/>
      <c r="C155" s="29"/>
      <c r="D155" s="67"/>
      <c r="E155" s="29"/>
      <c r="F155" s="29"/>
      <c r="G155" s="67"/>
      <c r="H155" s="29"/>
      <c r="I155" s="30"/>
      <c r="J155" s="30"/>
      <c r="K155" s="30"/>
      <c r="L155" s="30"/>
      <c r="M155" s="30"/>
      <c r="N155" s="30"/>
      <c r="O155" s="30"/>
      <c r="P155" s="30"/>
      <c r="Q155" s="30"/>
    </row>
    <row r="156" spans="2:17" x14ac:dyDescent="0.3">
      <c r="B156" s="29"/>
      <c r="C156" s="29"/>
      <c r="D156" s="67"/>
      <c r="E156" s="29"/>
      <c r="F156" s="29"/>
      <c r="G156" s="67"/>
      <c r="H156" s="29"/>
      <c r="I156" s="30"/>
      <c r="J156" s="30"/>
      <c r="K156" s="30"/>
      <c r="L156" s="30"/>
      <c r="M156" s="30"/>
      <c r="N156" s="30"/>
      <c r="O156" s="30"/>
      <c r="P156" s="30"/>
      <c r="Q156" s="30"/>
    </row>
    <row r="157" spans="2:17" x14ac:dyDescent="0.3">
      <c r="B157" s="29"/>
      <c r="C157" s="29"/>
      <c r="D157" s="67"/>
      <c r="E157" s="29"/>
      <c r="F157" s="29"/>
      <c r="G157" s="67"/>
      <c r="H157" s="29"/>
      <c r="I157" s="30"/>
      <c r="J157" s="30"/>
      <c r="K157" s="30"/>
      <c r="L157" s="30"/>
      <c r="M157" s="30"/>
      <c r="N157" s="30"/>
      <c r="O157" s="30"/>
      <c r="P157" s="30"/>
      <c r="Q157" s="30"/>
    </row>
    <row r="158" spans="2:17" x14ac:dyDescent="0.3">
      <c r="B158" s="29"/>
      <c r="C158" s="29"/>
      <c r="D158" s="67"/>
      <c r="E158" s="29"/>
      <c r="F158" s="29"/>
      <c r="G158" s="67"/>
      <c r="H158" s="29"/>
      <c r="I158" s="30"/>
      <c r="J158" s="30"/>
      <c r="K158" s="30"/>
      <c r="L158" s="30"/>
      <c r="M158" s="30"/>
      <c r="N158" s="30"/>
      <c r="O158" s="30"/>
      <c r="P158" s="30"/>
      <c r="Q158" s="30"/>
    </row>
    <row r="159" spans="2:17" x14ac:dyDescent="0.3">
      <c r="B159" s="29"/>
      <c r="C159" s="29"/>
      <c r="D159" s="67"/>
      <c r="E159" s="29"/>
      <c r="F159" s="29"/>
      <c r="G159" s="67"/>
      <c r="H159" s="29"/>
      <c r="I159" s="30"/>
      <c r="J159" s="30"/>
      <c r="K159" s="30"/>
      <c r="L159" s="30"/>
      <c r="M159" s="30"/>
      <c r="N159" s="30"/>
      <c r="O159" s="30"/>
      <c r="P159" s="30"/>
      <c r="Q159" s="30"/>
    </row>
    <row r="160" spans="2:17" x14ac:dyDescent="0.3">
      <c r="B160" s="29"/>
      <c r="C160" s="29"/>
      <c r="D160" s="67"/>
      <c r="E160" s="29"/>
      <c r="F160" s="29"/>
      <c r="G160" s="67"/>
      <c r="H160" s="29"/>
      <c r="I160" s="30"/>
      <c r="J160" s="30"/>
      <c r="K160" s="30"/>
      <c r="L160" s="30"/>
      <c r="M160" s="30"/>
      <c r="N160" s="30"/>
      <c r="O160" s="30"/>
      <c r="P160" s="30"/>
      <c r="Q160" s="30"/>
    </row>
    <row r="161" spans="2:17" x14ac:dyDescent="0.3">
      <c r="B161" s="29"/>
      <c r="C161" s="29"/>
      <c r="D161" s="67"/>
      <c r="E161" s="29"/>
      <c r="F161" s="29"/>
      <c r="G161" s="67"/>
      <c r="H161" s="29"/>
      <c r="I161" s="30"/>
      <c r="J161" s="30"/>
      <c r="K161" s="30"/>
      <c r="L161" s="30"/>
      <c r="M161" s="30"/>
      <c r="N161" s="30"/>
      <c r="O161" s="30"/>
      <c r="P161" s="30"/>
      <c r="Q161" s="30"/>
    </row>
    <row r="162" spans="2:17" x14ac:dyDescent="0.3">
      <c r="B162" s="29"/>
      <c r="C162" s="29"/>
      <c r="D162" s="67"/>
      <c r="E162" s="29"/>
      <c r="F162" s="29"/>
      <c r="G162" s="67"/>
      <c r="H162" s="29"/>
      <c r="I162" s="30"/>
      <c r="J162" s="30"/>
      <c r="K162" s="30"/>
      <c r="L162" s="30"/>
      <c r="M162" s="30"/>
      <c r="N162" s="30"/>
      <c r="O162" s="30"/>
      <c r="P162" s="30"/>
      <c r="Q162" s="30"/>
    </row>
    <row r="163" spans="2:17" x14ac:dyDescent="0.3">
      <c r="B163" s="29"/>
      <c r="C163" s="29"/>
      <c r="D163" s="67"/>
      <c r="E163" s="29"/>
      <c r="F163" s="29"/>
      <c r="G163" s="67"/>
      <c r="H163" s="29"/>
      <c r="I163" s="30"/>
      <c r="J163" s="30"/>
      <c r="K163" s="30"/>
      <c r="L163" s="30"/>
      <c r="M163" s="30"/>
      <c r="N163" s="30"/>
      <c r="O163" s="30"/>
      <c r="P163" s="30"/>
      <c r="Q163" s="30"/>
    </row>
    <row r="164" spans="2:17" x14ac:dyDescent="0.3">
      <c r="B164" s="29"/>
      <c r="C164" s="29"/>
      <c r="D164" s="67"/>
      <c r="E164" s="29"/>
      <c r="F164" s="29"/>
      <c r="G164" s="67"/>
      <c r="H164" s="29"/>
      <c r="I164" s="30"/>
      <c r="J164" s="30"/>
      <c r="K164" s="30"/>
      <c r="L164" s="30"/>
      <c r="M164" s="30"/>
      <c r="N164" s="30"/>
      <c r="O164" s="30"/>
      <c r="P164" s="30"/>
      <c r="Q164" s="30"/>
    </row>
    <row r="165" spans="2:17" x14ac:dyDescent="0.3">
      <c r="B165" s="29"/>
      <c r="C165" s="29"/>
      <c r="D165" s="67"/>
      <c r="E165" s="29"/>
      <c r="F165" s="29"/>
      <c r="G165" s="67"/>
      <c r="H165" s="29"/>
      <c r="I165" s="30"/>
      <c r="J165" s="30"/>
      <c r="K165" s="30"/>
      <c r="L165" s="30"/>
      <c r="M165" s="30"/>
      <c r="N165" s="30"/>
      <c r="O165" s="30"/>
      <c r="P165" s="30"/>
      <c r="Q165" s="30"/>
    </row>
    <row r="166" spans="2:17" x14ac:dyDescent="0.3">
      <c r="B166" s="29"/>
      <c r="C166" s="29"/>
      <c r="D166" s="67"/>
      <c r="E166" s="29"/>
      <c r="F166" s="29"/>
      <c r="G166" s="67"/>
      <c r="H166" s="29"/>
      <c r="I166" s="30"/>
      <c r="J166" s="30"/>
      <c r="K166" s="30"/>
      <c r="L166" s="30"/>
      <c r="M166" s="30"/>
      <c r="N166" s="30"/>
      <c r="O166" s="30"/>
      <c r="P166" s="30"/>
      <c r="Q166" s="30"/>
    </row>
    <row r="167" spans="2:17" x14ac:dyDescent="0.3">
      <c r="B167" s="29"/>
      <c r="C167" s="29"/>
      <c r="D167" s="67"/>
      <c r="E167" s="29"/>
      <c r="F167" s="29"/>
      <c r="G167" s="67"/>
      <c r="H167" s="29"/>
      <c r="I167" s="30"/>
      <c r="J167" s="30"/>
      <c r="K167" s="30"/>
      <c r="L167" s="30"/>
      <c r="M167" s="30"/>
      <c r="N167" s="30"/>
      <c r="O167" s="30"/>
      <c r="P167" s="30"/>
      <c r="Q167" s="30"/>
    </row>
    <row r="168" spans="2:17" x14ac:dyDescent="0.3">
      <c r="B168" s="29"/>
      <c r="C168" s="29"/>
      <c r="D168" s="67"/>
      <c r="E168" s="29"/>
      <c r="F168" s="29"/>
      <c r="G168" s="67"/>
      <c r="H168" s="29"/>
      <c r="I168" s="30"/>
      <c r="J168" s="30"/>
      <c r="K168" s="30"/>
      <c r="L168" s="30"/>
      <c r="M168" s="30"/>
      <c r="N168" s="30"/>
      <c r="O168" s="30"/>
      <c r="P168" s="30"/>
      <c r="Q168" s="30"/>
    </row>
    <row r="169" spans="2:17" x14ac:dyDescent="0.3">
      <c r="B169" s="29"/>
      <c r="C169" s="29"/>
      <c r="D169" s="67"/>
      <c r="E169" s="29"/>
      <c r="F169" s="29"/>
      <c r="G169" s="67"/>
      <c r="H169" s="29"/>
      <c r="I169" s="30"/>
      <c r="J169" s="30"/>
      <c r="K169" s="30"/>
      <c r="L169" s="30"/>
      <c r="M169" s="30"/>
      <c r="N169" s="30"/>
      <c r="O169" s="30"/>
      <c r="P169" s="30"/>
      <c r="Q169" s="30"/>
    </row>
    <row r="170" spans="2:17" x14ac:dyDescent="0.3">
      <c r="B170" s="29"/>
      <c r="C170" s="29"/>
      <c r="D170" s="67"/>
      <c r="E170" s="29"/>
      <c r="F170" s="29"/>
      <c r="G170" s="67"/>
      <c r="H170" s="29"/>
      <c r="I170" s="30"/>
      <c r="J170" s="30"/>
      <c r="K170" s="30"/>
      <c r="L170" s="30"/>
      <c r="M170" s="30"/>
      <c r="N170" s="30"/>
      <c r="O170" s="30"/>
      <c r="P170" s="30"/>
      <c r="Q170" s="30"/>
    </row>
    <row r="171" spans="2:17" x14ac:dyDescent="0.3">
      <c r="B171" s="29"/>
      <c r="C171" s="29"/>
      <c r="D171" s="67"/>
      <c r="E171" s="29"/>
      <c r="F171" s="29"/>
      <c r="G171" s="67"/>
      <c r="H171" s="29"/>
      <c r="I171" s="30"/>
      <c r="J171" s="30"/>
      <c r="K171" s="30"/>
      <c r="L171" s="30"/>
      <c r="M171" s="30"/>
      <c r="N171" s="30"/>
      <c r="O171" s="30"/>
      <c r="P171" s="30"/>
      <c r="Q171" s="30"/>
    </row>
    <row r="172" spans="2:17" x14ac:dyDescent="0.3">
      <c r="B172" s="29"/>
      <c r="C172" s="29"/>
      <c r="D172" s="67"/>
      <c r="E172" s="29"/>
      <c r="F172" s="29"/>
      <c r="G172" s="67"/>
      <c r="H172" s="29"/>
      <c r="I172" s="30"/>
      <c r="J172" s="30"/>
      <c r="K172" s="30"/>
      <c r="L172" s="30"/>
      <c r="M172" s="30"/>
      <c r="N172" s="30"/>
      <c r="O172" s="30"/>
      <c r="P172" s="30"/>
      <c r="Q172" s="30"/>
    </row>
    <row r="173" spans="2:17" x14ac:dyDescent="0.3">
      <c r="B173" s="29"/>
      <c r="C173" s="29"/>
      <c r="D173" s="67"/>
      <c r="E173" s="29"/>
      <c r="F173" s="29"/>
      <c r="G173" s="67"/>
      <c r="H173" s="29"/>
      <c r="I173" s="30"/>
      <c r="J173" s="30"/>
      <c r="K173" s="30"/>
      <c r="L173" s="30"/>
      <c r="M173" s="30"/>
      <c r="N173" s="30"/>
      <c r="O173" s="30"/>
      <c r="P173" s="30"/>
      <c r="Q173" s="30"/>
    </row>
    <row r="174" spans="2:17" x14ac:dyDescent="0.3">
      <c r="B174" s="29"/>
      <c r="C174" s="29"/>
      <c r="D174" s="67"/>
      <c r="E174" s="29"/>
      <c r="F174" s="29"/>
      <c r="G174" s="67"/>
      <c r="H174" s="29"/>
      <c r="I174" s="30"/>
      <c r="J174" s="30"/>
      <c r="K174" s="30"/>
      <c r="L174" s="30"/>
      <c r="M174" s="30"/>
      <c r="N174" s="30"/>
      <c r="O174" s="30"/>
      <c r="P174" s="30"/>
      <c r="Q174" s="30"/>
    </row>
    <row r="175" spans="2:17" x14ac:dyDescent="0.3">
      <c r="B175" s="29"/>
      <c r="C175" s="29"/>
      <c r="D175" s="67"/>
      <c r="E175" s="29"/>
      <c r="F175" s="29"/>
      <c r="G175" s="67"/>
      <c r="H175" s="29"/>
      <c r="I175" s="30"/>
      <c r="J175" s="30"/>
      <c r="K175" s="30"/>
      <c r="L175" s="30"/>
      <c r="M175" s="30"/>
      <c r="N175" s="30"/>
      <c r="O175" s="30"/>
      <c r="P175" s="30"/>
      <c r="Q175" s="30"/>
    </row>
    <row r="176" spans="2:17" x14ac:dyDescent="0.3">
      <c r="B176" s="29"/>
      <c r="C176" s="29"/>
      <c r="D176" s="67"/>
      <c r="E176" s="29"/>
      <c r="F176" s="29"/>
      <c r="G176" s="67"/>
      <c r="H176" s="29"/>
      <c r="I176" s="30"/>
      <c r="J176" s="30"/>
      <c r="K176" s="30"/>
      <c r="L176" s="30"/>
      <c r="M176" s="30"/>
      <c r="N176" s="30"/>
      <c r="O176" s="30"/>
      <c r="P176" s="30"/>
      <c r="Q176" s="30"/>
    </row>
    <row r="177" spans="2:17" x14ac:dyDescent="0.3">
      <c r="B177" s="29"/>
      <c r="C177" s="29"/>
      <c r="D177" s="67"/>
      <c r="E177" s="29"/>
      <c r="F177" s="29"/>
      <c r="G177" s="67"/>
      <c r="H177" s="29"/>
      <c r="I177" s="30"/>
      <c r="J177" s="30"/>
      <c r="K177" s="30"/>
      <c r="L177" s="30"/>
      <c r="M177" s="30"/>
      <c r="N177" s="30"/>
      <c r="O177" s="30"/>
      <c r="P177" s="30"/>
      <c r="Q177" s="30"/>
    </row>
    <row r="178" spans="2:17" x14ac:dyDescent="0.3">
      <c r="B178" s="29"/>
      <c r="C178" s="29"/>
      <c r="D178" s="67"/>
      <c r="E178" s="29"/>
      <c r="F178" s="29"/>
      <c r="G178" s="67"/>
      <c r="H178" s="29"/>
      <c r="I178" s="30"/>
      <c r="J178" s="30"/>
      <c r="K178" s="30"/>
      <c r="L178" s="30"/>
      <c r="M178" s="30"/>
      <c r="N178" s="30"/>
      <c r="O178" s="30"/>
      <c r="P178" s="30"/>
      <c r="Q178" s="30"/>
    </row>
    <row r="179" spans="2:17" x14ac:dyDescent="0.3">
      <c r="B179" s="29"/>
      <c r="C179" s="29"/>
      <c r="D179" s="67"/>
      <c r="E179" s="29"/>
      <c r="F179" s="29"/>
      <c r="G179" s="67"/>
      <c r="H179" s="29"/>
      <c r="I179" s="30"/>
      <c r="J179" s="30"/>
      <c r="K179" s="30"/>
      <c r="L179" s="30"/>
      <c r="M179" s="30"/>
      <c r="N179" s="30"/>
      <c r="O179" s="30"/>
      <c r="P179" s="30"/>
      <c r="Q179" s="30"/>
    </row>
    <row r="180" spans="2:17" x14ac:dyDescent="0.3">
      <c r="B180" s="29"/>
      <c r="C180" s="29"/>
      <c r="D180" s="67"/>
      <c r="E180" s="29"/>
      <c r="F180" s="29"/>
      <c r="G180" s="67"/>
      <c r="H180" s="29"/>
      <c r="I180" s="30"/>
      <c r="J180" s="30"/>
      <c r="K180" s="30"/>
      <c r="L180" s="30"/>
      <c r="M180" s="30"/>
      <c r="N180" s="30"/>
      <c r="O180" s="30"/>
      <c r="P180" s="30"/>
      <c r="Q180" s="30"/>
    </row>
    <row r="181" spans="2:17" x14ac:dyDescent="0.3">
      <c r="B181" s="29"/>
      <c r="C181" s="29"/>
      <c r="D181" s="67"/>
      <c r="E181" s="29"/>
      <c r="F181" s="29"/>
      <c r="G181" s="67"/>
      <c r="H181" s="29"/>
      <c r="I181" s="30"/>
      <c r="J181" s="30"/>
      <c r="K181" s="30"/>
      <c r="L181" s="30"/>
      <c r="M181" s="30"/>
      <c r="N181" s="30"/>
      <c r="O181" s="30"/>
      <c r="P181" s="30"/>
      <c r="Q181" s="30"/>
    </row>
    <row r="182" spans="2:17" x14ac:dyDescent="0.3">
      <c r="B182" s="29"/>
      <c r="C182" s="29"/>
      <c r="D182" s="67"/>
      <c r="E182" s="29"/>
      <c r="F182" s="29"/>
      <c r="G182" s="67"/>
      <c r="H182" s="29"/>
      <c r="I182" s="30"/>
      <c r="J182" s="30"/>
      <c r="K182" s="30"/>
      <c r="L182" s="30"/>
      <c r="M182" s="30"/>
      <c r="N182" s="30"/>
      <c r="O182" s="30"/>
      <c r="P182" s="30"/>
      <c r="Q182" s="30"/>
    </row>
    <row r="183" spans="2:17" x14ac:dyDescent="0.3">
      <c r="B183" s="29"/>
      <c r="C183" s="29"/>
      <c r="D183" s="67"/>
      <c r="E183" s="29"/>
      <c r="F183" s="29"/>
      <c r="G183" s="67"/>
      <c r="H183" s="29"/>
      <c r="I183" s="30"/>
      <c r="J183" s="30"/>
      <c r="K183" s="30"/>
      <c r="L183" s="30"/>
      <c r="M183" s="30"/>
      <c r="N183" s="30"/>
      <c r="O183" s="30"/>
      <c r="P183" s="30"/>
      <c r="Q183" s="30"/>
    </row>
    <row r="184" spans="2:17" x14ac:dyDescent="0.3">
      <c r="B184" s="29"/>
      <c r="C184" s="29"/>
      <c r="D184" s="67"/>
      <c r="E184" s="29"/>
      <c r="F184" s="29"/>
      <c r="G184" s="67"/>
      <c r="H184" s="29"/>
      <c r="I184" s="30"/>
      <c r="J184" s="30"/>
      <c r="K184" s="30"/>
      <c r="L184" s="30"/>
      <c r="M184" s="30"/>
      <c r="N184" s="30"/>
      <c r="O184" s="30"/>
      <c r="P184" s="30"/>
      <c r="Q184" s="30"/>
    </row>
    <row r="185" spans="2:17" x14ac:dyDescent="0.3">
      <c r="B185" s="29"/>
      <c r="C185" s="29"/>
      <c r="D185" s="67"/>
      <c r="E185" s="29"/>
      <c r="F185" s="29"/>
      <c r="G185" s="67"/>
      <c r="H185" s="29"/>
      <c r="I185" s="30"/>
      <c r="J185" s="30"/>
      <c r="K185" s="30"/>
      <c r="L185" s="30"/>
      <c r="M185" s="30"/>
      <c r="N185" s="30"/>
      <c r="O185" s="30"/>
      <c r="P185" s="30"/>
      <c r="Q185" s="30"/>
    </row>
    <row r="186" spans="2:17" x14ac:dyDescent="0.3">
      <c r="B186" s="29"/>
      <c r="C186" s="29"/>
      <c r="D186" s="67"/>
      <c r="E186" s="29"/>
      <c r="F186" s="29"/>
      <c r="G186" s="67"/>
      <c r="H186" s="29"/>
      <c r="I186" s="30"/>
      <c r="J186" s="30"/>
      <c r="K186" s="30"/>
      <c r="L186" s="30"/>
      <c r="M186" s="30"/>
      <c r="N186" s="30"/>
      <c r="O186" s="30"/>
      <c r="P186" s="30"/>
      <c r="Q186" s="30"/>
    </row>
    <row r="187" spans="2:17" x14ac:dyDescent="0.3">
      <c r="B187" s="29"/>
      <c r="C187" s="29"/>
      <c r="D187" s="67"/>
      <c r="E187" s="29"/>
      <c r="F187" s="29"/>
      <c r="G187" s="67"/>
      <c r="H187" s="29"/>
      <c r="I187" s="30"/>
      <c r="J187" s="30"/>
      <c r="K187" s="30"/>
      <c r="L187" s="30"/>
      <c r="M187" s="30"/>
      <c r="N187" s="30"/>
      <c r="O187" s="30"/>
      <c r="P187" s="30"/>
      <c r="Q187" s="30"/>
    </row>
    <row r="188" spans="2:17" x14ac:dyDescent="0.3">
      <c r="B188" s="29"/>
      <c r="C188" s="29"/>
      <c r="D188" s="67"/>
      <c r="E188" s="29"/>
      <c r="F188" s="29"/>
      <c r="G188" s="67"/>
      <c r="H188" s="29"/>
      <c r="I188" s="30"/>
      <c r="J188" s="30"/>
      <c r="K188" s="30"/>
      <c r="L188" s="30"/>
      <c r="M188" s="30"/>
      <c r="N188" s="30"/>
      <c r="O188" s="30"/>
      <c r="P188" s="30"/>
      <c r="Q188" s="30"/>
    </row>
    <row r="189" spans="2:17" x14ac:dyDescent="0.3">
      <c r="B189" s="29"/>
      <c r="C189" s="29"/>
      <c r="D189" s="67"/>
      <c r="E189" s="29"/>
      <c r="F189" s="29"/>
      <c r="G189" s="67"/>
      <c r="H189" s="29"/>
      <c r="I189" s="30"/>
      <c r="J189" s="30"/>
      <c r="K189" s="30"/>
      <c r="L189" s="30"/>
      <c r="M189" s="30"/>
      <c r="N189" s="30"/>
      <c r="O189" s="30"/>
      <c r="P189" s="30"/>
      <c r="Q189" s="30"/>
    </row>
    <row r="190" spans="2:17" x14ac:dyDescent="0.3">
      <c r="B190" s="29"/>
      <c r="C190" s="29"/>
      <c r="D190" s="67"/>
      <c r="E190" s="29"/>
      <c r="F190" s="29"/>
      <c r="G190" s="67"/>
      <c r="H190" s="29"/>
      <c r="I190" s="30"/>
      <c r="J190" s="30"/>
      <c r="K190" s="30"/>
      <c r="L190" s="30"/>
      <c r="M190" s="30"/>
      <c r="N190" s="30"/>
      <c r="O190" s="30"/>
      <c r="P190" s="30"/>
      <c r="Q190" s="30"/>
    </row>
    <row r="191" spans="2:17" x14ac:dyDescent="0.3">
      <c r="B191" s="29"/>
      <c r="C191" s="29"/>
      <c r="D191" s="67"/>
      <c r="E191" s="29"/>
      <c r="F191" s="29"/>
      <c r="G191" s="67"/>
      <c r="H191" s="29"/>
      <c r="I191" s="30"/>
      <c r="J191" s="30"/>
      <c r="K191" s="30"/>
      <c r="L191" s="30"/>
      <c r="M191" s="30"/>
      <c r="N191" s="30"/>
      <c r="O191" s="30"/>
      <c r="P191" s="30"/>
      <c r="Q191" s="30"/>
    </row>
    <row r="192" spans="2:17" x14ac:dyDescent="0.3">
      <c r="B192" s="29"/>
      <c r="C192" s="29"/>
      <c r="D192" s="67"/>
      <c r="E192" s="29"/>
      <c r="F192" s="29"/>
      <c r="G192" s="67"/>
      <c r="H192" s="29"/>
      <c r="I192" s="30"/>
      <c r="J192" s="30"/>
      <c r="K192" s="30"/>
      <c r="L192" s="30"/>
      <c r="M192" s="30"/>
      <c r="N192" s="30"/>
      <c r="O192" s="30"/>
      <c r="P192" s="30"/>
      <c r="Q192" s="30"/>
    </row>
    <row r="193" spans="2:17" x14ac:dyDescent="0.3">
      <c r="B193" s="29"/>
      <c r="C193" s="29"/>
      <c r="D193" s="67"/>
      <c r="E193" s="29"/>
      <c r="F193" s="29"/>
      <c r="G193" s="67"/>
      <c r="H193" s="29"/>
      <c r="I193" s="30"/>
      <c r="J193" s="30"/>
      <c r="K193" s="30"/>
      <c r="L193" s="30"/>
      <c r="M193" s="30"/>
      <c r="N193" s="30"/>
      <c r="O193" s="30"/>
      <c r="P193" s="30"/>
      <c r="Q193" s="30"/>
    </row>
    <row r="194" spans="2:17" x14ac:dyDescent="0.3">
      <c r="B194" s="29"/>
      <c r="C194" s="29"/>
      <c r="D194" s="67"/>
      <c r="E194" s="29"/>
      <c r="F194" s="29"/>
      <c r="G194" s="67"/>
      <c r="H194" s="29"/>
      <c r="I194" s="30"/>
      <c r="J194" s="30"/>
      <c r="K194" s="30"/>
      <c r="L194" s="30"/>
      <c r="M194" s="30"/>
      <c r="N194" s="30"/>
      <c r="O194" s="30"/>
      <c r="P194" s="30"/>
      <c r="Q194" s="30"/>
    </row>
    <row r="195" spans="2:17" x14ac:dyDescent="0.3">
      <c r="B195" s="29"/>
      <c r="C195" s="29"/>
      <c r="D195" s="67"/>
      <c r="E195" s="29"/>
      <c r="F195" s="29"/>
      <c r="G195" s="67"/>
      <c r="H195" s="29"/>
      <c r="I195" s="30"/>
      <c r="J195" s="30"/>
      <c r="K195" s="30"/>
      <c r="L195" s="30"/>
      <c r="M195" s="30"/>
      <c r="N195" s="30"/>
      <c r="O195" s="30"/>
      <c r="P195" s="30"/>
      <c r="Q195" s="30"/>
    </row>
    <row r="196" spans="2:17" x14ac:dyDescent="0.3">
      <c r="B196" s="29"/>
      <c r="C196" s="29"/>
      <c r="D196" s="67"/>
      <c r="E196" s="29"/>
      <c r="F196" s="29"/>
      <c r="G196" s="67"/>
      <c r="H196" s="29"/>
      <c r="I196" s="30"/>
      <c r="J196" s="30"/>
      <c r="K196" s="30"/>
      <c r="L196" s="30"/>
      <c r="M196" s="30"/>
      <c r="N196" s="30"/>
      <c r="O196" s="30"/>
      <c r="P196" s="30"/>
      <c r="Q196" s="30"/>
    </row>
    <row r="197" spans="2:17" x14ac:dyDescent="0.3">
      <c r="B197" s="29"/>
      <c r="C197" s="29"/>
      <c r="D197" s="67"/>
      <c r="E197" s="29"/>
      <c r="F197" s="29"/>
      <c r="G197" s="67"/>
      <c r="H197" s="29"/>
      <c r="I197" s="30"/>
      <c r="J197" s="30"/>
      <c r="K197" s="30"/>
      <c r="L197" s="30"/>
      <c r="M197" s="30"/>
      <c r="N197" s="30"/>
      <c r="O197" s="30"/>
      <c r="P197" s="30"/>
      <c r="Q197" s="30"/>
    </row>
    <row r="198" spans="2:17" x14ac:dyDescent="0.3">
      <c r="B198" s="29"/>
      <c r="C198" s="29"/>
      <c r="D198" s="67"/>
      <c r="E198" s="29"/>
      <c r="F198" s="29"/>
      <c r="G198" s="67"/>
      <c r="H198" s="29"/>
      <c r="I198" s="30"/>
      <c r="J198" s="30"/>
      <c r="K198" s="30"/>
      <c r="L198" s="30"/>
      <c r="M198" s="30"/>
      <c r="N198" s="30"/>
      <c r="O198" s="30"/>
      <c r="P198" s="30"/>
      <c r="Q198" s="30"/>
    </row>
    <row r="199" spans="2:17" x14ac:dyDescent="0.3">
      <c r="B199" s="29"/>
      <c r="C199" s="29"/>
      <c r="D199" s="67"/>
      <c r="E199" s="29"/>
      <c r="F199" s="29"/>
      <c r="G199" s="67"/>
      <c r="H199" s="29"/>
      <c r="I199" s="30"/>
      <c r="J199" s="30"/>
      <c r="K199" s="30"/>
      <c r="L199" s="30"/>
      <c r="M199" s="30"/>
      <c r="N199" s="30"/>
      <c r="O199" s="30"/>
      <c r="P199" s="30"/>
      <c r="Q199" s="30"/>
    </row>
    <row r="200" spans="2:17" x14ac:dyDescent="0.3">
      <c r="B200" s="29"/>
      <c r="C200" s="29"/>
      <c r="D200" s="67"/>
      <c r="E200" s="29"/>
      <c r="F200" s="29"/>
      <c r="G200" s="67"/>
      <c r="H200" s="29"/>
      <c r="I200" s="30"/>
      <c r="J200" s="30"/>
      <c r="K200" s="30"/>
      <c r="L200" s="30"/>
      <c r="M200" s="30"/>
      <c r="N200" s="30"/>
      <c r="O200" s="30"/>
      <c r="P200" s="30"/>
      <c r="Q200" s="30"/>
    </row>
    <row r="201" spans="2:17" x14ac:dyDescent="0.3">
      <c r="B201" s="29"/>
      <c r="C201" s="29"/>
      <c r="D201" s="67"/>
      <c r="E201" s="29"/>
      <c r="F201" s="29"/>
      <c r="G201" s="67"/>
      <c r="H201" s="29"/>
      <c r="I201" s="30"/>
      <c r="J201" s="30"/>
      <c r="K201" s="30"/>
      <c r="L201" s="30"/>
      <c r="M201" s="30"/>
      <c r="N201" s="30"/>
      <c r="O201" s="30"/>
      <c r="P201" s="30"/>
      <c r="Q201" s="30"/>
    </row>
    <row r="202" spans="2:17" x14ac:dyDescent="0.3">
      <c r="B202" s="29"/>
      <c r="C202" s="29"/>
      <c r="D202" s="67"/>
      <c r="E202" s="29"/>
      <c r="F202" s="29"/>
      <c r="G202" s="67"/>
      <c r="H202" s="29"/>
      <c r="I202" s="30"/>
      <c r="J202" s="30"/>
      <c r="K202" s="30"/>
      <c r="L202" s="30"/>
      <c r="M202" s="30"/>
      <c r="N202" s="30"/>
      <c r="O202" s="30"/>
      <c r="P202" s="30"/>
      <c r="Q202" s="30"/>
    </row>
    <row r="203" spans="2:17" x14ac:dyDescent="0.3">
      <c r="B203" s="29"/>
      <c r="C203" s="29"/>
      <c r="D203" s="67"/>
      <c r="E203" s="29"/>
      <c r="F203" s="29"/>
      <c r="G203" s="67"/>
      <c r="H203" s="29"/>
      <c r="I203" s="30"/>
      <c r="J203" s="30"/>
      <c r="K203" s="30"/>
      <c r="L203" s="30"/>
      <c r="M203" s="30"/>
      <c r="N203" s="30"/>
      <c r="O203" s="30"/>
      <c r="P203" s="30"/>
      <c r="Q203" s="30"/>
    </row>
    <row r="204" spans="2:17" x14ac:dyDescent="0.3">
      <c r="B204" s="29"/>
      <c r="C204" s="29"/>
      <c r="D204" s="67"/>
      <c r="E204" s="29"/>
      <c r="F204" s="29"/>
      <c r="G204" s="67"/>
      <c r="H204" s="29"/>
      <c r="I204" s="30"/>
      <c r="J204" s="30"/>
      <c r="K204" s="30"/>
      <c r="L204" s="30"/>
      <c r="M204" s="30"/>
      <c r="N204" s="30"/>
      <c r="O204" s="30"/>
      <c r="P204" s="30"/>
      <c r="Q204" s="30"/>
    </row>
    <row r="205" spans="2:17" x14ac:dyDescent="0.3">
      <c r="B205" s="29"/>
      <c r="C205" s="29"/>
      <c r="D205" s="67"/>
      <c r="E205" s="29"/>
      <c r="F205" s="29"/>
      <c r="G205" s="67"/>
      <c r="H205" s="29"/>
      <c r="I205" s="30"/>
      <c r="J205" s="30"/>
      <c r="K205" s="30"/>
      <c r="L205" s="30"/>
      <c r="M205" s="30"/>
      <c r="N205" s="30"/>
      <c r="O205" s="30"/>
      <c r="P205" s="30"/>
      <c r="Q205" s="30"/>
    </row>
    <row r="206" spans="2:17" x14ac:dyDescent="0.3">
      <c r="B206" s="29"/>
      <c r="C206" s="29"/>
      <c r="D206" s="67"/>
      <c r="E206" s="29"/>
      <c r="F206" s="29"/>
      <c r="G206" s="67"/>
      <c r="H206" s="29"/>
      <c r="I206" s="30"/>
      <c r="J206" s="30"/>
      <c r="K206" s="30"/>
      <c r="L206" s="30"/>
      <c r="M206" s="30"/>
      <c r="N206" s="30"/>
      <c r="O206" s="30"/>
      <c r="P206" s="30"/>
      <c r="Q206" s="30"/>
    </row>
    <row r="207" spans="2:17" x14ac:dyDescent="0.3">
      <c r="B207" s="29"/>
      <c r="C207" s="29"/>
      <c r="D207" s="67"/>
      <c r="E207" s="29"/>
      <c r="F207" s="29"/>
      <c r="G207" s="67"/>
      <c r="H207" s="29"/>
      <c r="I207" s="30"/>
      <c r="J207" s="30"/>
      <c r="K207" s="30"/>
      <c r="L207" s="30"/>
      <c r="M207" s="30"/>
      <c r="N207" s="30"/>
      <c r="O207" s="30"/>
      <c r="P207" s="30"/>
      <c r="Q207" s="30"/>
    </row>
    <row r="208" spans="2:17" x14ac:dyDescent="0.3">
      <c r="B208" s="29"/>
      <c r="C208" s="29"/>
      <c r="D208" s="67"/>
      <c r="E208" s="29"/>
      <c r="F208" s="29"/>
      <c r="G208" s="67"/>
      <c r="H208" s="29"/>
      <c r="I208" s="30"/>
      <c r="J208" s="30"/>
      <c r="K208" s="30"/>
      <c r="L208" s="30"/>
      <c r="M208" s="30"/>
      <c r="N208" s="30"/>
      <c r="O208" s="30"/>
      <c r="P208" s="30"/>
      <c r="Q208" s="30"/>
    </row>
    <row r="209" spans="2:17" x14ac:dyDescent="0.3">
      <c r="B209" s="29"/>
      <c r="C209" s="29"/>
      <c r="D209" s="67"/>
      <c r="E209" s="29"/>
      <c r="F209" s="29"/>
      <c r="G209" s="67"/>
      <c r="H209" s="29"/>
      <c r="I209" s="30"/>
      <c r="J209" s="30"/>
      <c r="K209" s="30"/>
      <c r="L209" s="30"/>
      <c r="M209" s="30"/>
      <c r="N209" s="30"/>
      <c r="O209" s="30"/>
      <c r="P209" s="30"/>
      <c r="Q209" s="30"/>
    </row>
    <row r="210" spans="2:17" x14ac:dyDescent="0.3">
      <c r="B210" s="29"/>
      <c r="C210" s="29"/>
      <c r="D210" s="67"/>
      <c r="E210" s="29"/>
      <c r="F210" s="29"/>
      <c r="G210" s="67"/>
      <c r="H210" s="29"/>
      <c r="I210" s="30"/>
      <c r="J210" s="30"/>
      <c r="K210" s="30"/>
      <c r="L210" s="30"/>
      <c r="M210" s="30"/>
      <c r="N210" s="30"/>
      <c r="O210" s="30"/>
      <c r="P210" s="30"/>
      <c r="Q210" s="30"/>
    </row>
    <row r="211" spans="2:17" x14ac:dyDescent="0.3">
      <c r="B211" s="29"/>
      <c r="C211" s="29"/>
      <c r="D211" s="67"/>
      <c r="E211" s="29"/>
      <c r="F211" s="29"/>
      <c r="G211" s="67"/>
      <c r="H211" s="29"/>
      <c r="I211" s="30"/>
      <c r="J211" s="30"/>
      <c r="K211" s="30"/>
      <c r="L211" s="30"/>
      <c r="M211" s="30"/>
      <c r="N211" s="30"/>
      <c r="O211" s="30"/>
      <c r="P211" s="30"/>
      <c r="Q211" s="30"/>
    </row>
    <row r="212" spans="2:17" x14ac:dyDescent="0.3">
      <c r="B212" s="29"/>
      <c r="C212" s="29"/>
      <c r="D212" s="67"/>
      <c r="E212" s="29"/>
      <c r="F212" s="29"/>
      <c r="G212" s="67"/>
      <c r="H212" s="29"/>
      <c r="I212" s="30"/>
      <c r="J212" s="30"/>
      <c r="K212" s="30"/>
      <c r="L212" s="30"/>
      <c r="M212" s="30"/>
      <c r="N212" s="30"/>
      <c r="O212" s="30"/>
      <c r="P212" s="30"/>
      <c r="Q212" s="30"/>
    </row>
    <row r="213" spans="2:17" x14ac:dyDescent="0.3">
      <c r="B213" s="29"/>
      <c r="C213" s="29"/>
      <c r="D213" s="67"/>
      <c r="E213" s="29"/>
      <c r="F213" s="29"/>
      <c r="G213" s="67"/>
      <c r="H213" s="29"/>
      <c r="I213" s="30"/>
      <c r="J213" s="30"/>
      <c r="K213" s="30"/>
      <c r="L213" s="30"/>
      <c r="M213" s="30"/>
      <c r="N213" s="30"/>
      <c r="O213" s="30"/>
      <c r="P213" s="30"/>
      <c r="Q213" s="30"/>
    </row>
    <row r="214" spans="2:17" x14ac:dyDescent="0.3">
      <c r="B214" s="29"/>
      <c r="C214" s="29"/>
      <c r="D214" s="67"/>
      <c r="E214" s="29"/>
      <c r="F214" s="29"/>
      <c r="G214" s="67"/>
      <c r="H214" s="29"/>
      <c r="I214" s="30"/>
      <c r="J214" s="30"/>
      <c r="K214" s="30"/>
      <c r="L214" s="30"/>
      <c r="M214" s="30"/>
      <c r="N214" s="30"/>
      <c r="O214" s="30"/>
      <c r="P214" s="30"/>
      <c r="Q214" s="30"/>
    </row>
    <row r="215" spans="2:17" x14ac:dyDescent="0.3">
      <c r="B215" s="29"/>
      <c r="C215" s="29"/>
      <c r="D215" s="67"/>
      <c r="E215" s="29"/>
      <c r="F215" s="29"/>
      <c r="G215" s="67"/>
      <c r="H215" s="29"/>
      <c r="I215" s="30"/>
      <c r="J215" s="30"/>
      <c r="K215" s="30"/>
      <c r="L215" s="30"/>
      <c r="M215" s="30"/>
      <c r="N215" s="30"/>
      <c r="O215" s="30"/>
      <c r="P215" s="30"/>
      <c r="Q215" s="30"/>
    </row>
    <row r="216" spans="2:17" x14ac:dyDescent="0.3">
      <c r="B216" s="29"/>
      <c r="C216" s="29"/>
      <c r="D216" s="67"/>
      <c r="E216" s="29"/>
      <c r="F216" s="29"/>
      <c r="G216" s="67"/>
      <c r="H216" s="29"/>
      <c r="I216" s="30"/>
      <c r="J216" s="30"/>
      <c r="K216" s="30"/>
      <c r="L216" s="30"/>
      <c r="M216" s="30"/>
      <c r="N216" s="30"/>
      <c r="O216" s="30"/>
      <c r="P216" s="30"/>
      <c r="Q216" s="30"/>
    </row>
    <row r="217" spans="2:17" x14ac:dyDescent="0.3">
      <c r="B217" s="29"/>
      <c r="C217" s="29"/>
      <c r="D217" s="67"/>
      <c r="E217" s="29"/>
      <c r="F217" s="29"/>
      <c r="G217" s="67"/>
      <c r="H217" s="29"/>
      <c r="I217" s="30"/>
      <c r="J217" s="30"/>
      <c r="K217" s="30"/>
      <c r="L217" s="30"/>
      <c r="M217" s="30"/>
      <c r="N217" s="30"/>
      <c r="O217" s="30"/>
      <c r="P217" s="30"/>
      <c r="Q217" s="30"/>
    </row>
    <row r="218" spans="2:17" x14ac:dyDescent="0.3">
      <c r="B218" s="29"/>
      <c r="C218" s="29"/>
      <c r="D218" s="67"/>
      <c r="E218" s="29"/>
      <c r="F218" s="29"/>
      <c r="G218" s="67"/>
      <c r="H218" s="29"/>
      <c r="I218" s="30"/>
      <c r="J218" s="30"/>
      <c r="K218" s="30"/>
      <c r="L218" s="30"/>
      <c r="M218" s="30"/>
      <c r="N218" s="30"/>
      <c r="O218" s="30"/>
      <c r="P218" s="30"/>
      <c r="Q218" s="30"/>
    </row>
    <row r="219" spans="2:17" x14ac:dyDescent="0.3">
      <c r="B219" s="29"/>
      <c r="C219" s="29"/>
      <c r="D219" s="67"/>
      <c r="E219" s="29"/>
      <c r="F219" s="29"/>
      <c r="G219" s="67"/>
      <c r="H219" s="29"/>
      <c r="I219" s="30"/>
      <c r="J219" s="30"/>
      <c r="K219" s="30"/>
      <c r="L219" s="30"/>
      <c r="M219" s="30"/>
      <c r="N219" s="30"/>
      <c r="O219" s="30"/>
      <c r="P219" s="30"/>
      <c r="Q219" s="30"/>
    </row>
    <row r="220" spans="2:17" x14ac:dyDescent="0.3">
      <c r="B220" s="29"/>
      <c r="C220" s="29"/>
      <c r="D220" s="67"/>
      <c r="E220" s="29"/>
      <c r="F220" s="29"/>
      <c r="G220" s="67"/>
      <c r="H220" s="29"/>
      <c r="I220" s="30"/>
      <c r="J220" s="30"/>
      <c r="K220" s="30"/>
      <c r="L220" s="30"/>
      <c r="M220" s="30"/>
      <c r="N220" s="30"/>
      <c r="O220" s="30"/>
      <c r="P220" s="30"/>
      <c r="Q220" s="30"/>
    </row>
    <row r="221" spans="2:17" x14ac:dyDescent="0.3">
      <c r="B221" s="29"/>
      <c r="C221" s="29"/>
      <c r="D221" s="67"/>
      <c r="E221" s="29"/>
      <c r="F221" s="29"/>
      <c r="G221" s="67"/>
      <c r="H221" s="29"/>
      <c r="I221" s="30"/>
      <c r="J221" s="30"/>
      <c r="K221" s="30"/>
      <c r="L221" s="30"/>
      <c r="M221" s="30"/>
      <c r="N221" s="30"/>
      <c r="O221" s="30"/>
      <c r="P221" s="30"/>
      <c r="Q221" s="30"/>
    </row>
    <row r="222" spans="2:17" x14ac:dyDescent="0.3">
      <c r="B222" s="29"/>
      <c r="C222" s="29"/>
      <c r="D222" s="67"/>
      <c r="E222" s="29"/>
      <c r="F222" s="29"/>
      <c r="G222" s="67"/>
      <c r="H222" s="29"/>
      <c r="I222" s="30"/>
      <c r="J222" s="30"/>
      <c r="K222" s="30"/>
      <c r="L222" s="30"/>
      <c r="M222" s="30"/>
      <c r="N222" s="30"/>
      <c r="O222" s="30"/>
      <c r="P222" s="30"/>
      <c r="Q222" s="30"/>
    </row>
    <row r="223" spans="2:17" x14ac:dyDescent="0.3">
      <c r="B223" s="29"/>
      <c r="C223" s="29"/>
      <c r="D223" s="67"/>
      <c r="E223" s="29"/>
      <c r="F223" s="29"/>
      <c r="G223" s="67"/>
      <c r="H223" s="29"/>
      <c r="I223" s="30"/>
      <c r="J223" s="30"/>
      <c r="K223" s="30"/>
      <c r="L223" s="30"/>
      <c r="M223" s="30"/>
      <c r="N223" s="30"/>
      <c r="O223" s="30"/>
      <c r="P223" s="30"/>
      <c r="Q223" s="30"/>
    </row>
    <row r="224" spans="2:17" x14ac:dyDescent="0.3">
      <c r="B224" s="29"/>
      <c r="C224" s="29"/>
      <c r="D224" s="67"/>
      <c r="E224" s="29"/>
      <c r="F224" s="29"/>
      <c r="G224" s="67"/>
      <c r="H224" s="29"/>
      <c r="I224" s="30"/>
      <c r="J224" s="30"/>
      <c r="K224" s="30"/>
      <c r="L224" s="30"/>
      <c r="M224" s="30"/>
      <c r="N224" s="30"/>
      <c r="O224" s="30"/>
      <c r="P224" s="30"/>
      <c r="Q224" s="30"/>
    </row>
    <row r="225" spans="2:17" x14ac:dyDescent="0.3">
      <c r="B225" s="29"/>
      <c r="C225" s="29"/>
      <c r="D225" s="67"/>
      <c r="E225" s="29"/>
      <c r="F225" s="29"/>
      <c r="G225" s="67"/>
      <c r="H225" s="29"/>
      <c r="I225" s="30"/>
      <c r="J225" s="30"/>
      <c r="K225" s="30"/>
      <c r="L225" s="30"/>
      <c r="M225" s="30"/>
      <c r="N225" s="30"/>
      <c r="O225" s="30"/>
      <c r="P225" s="30"/>
      <c r="Q225" s="30"/>
    </row>
    <row r="226" spans="2:17" x14ac:dyDescent="0.3">
      <c r="B226" s="29"/>
      <c r="C226" s="29"/>
      <c r="D226" s="67"/>
      <c r="E226" s="29"/>
      <c r="F226" s="29"/>
      <c r="G226" s="67"/>
      <c r="H226" s="29"/>
      <c r="I226" s="30"/>
      <c r="J226" s="30"/>
      <c r="K226" s="30"/>
      <c r="L226" s="30"/>
      <c r="M226" s="30"/>
      <c r="N226" s="30"/>
      <c r="O226" s="30"/>
      <c r="P226" s="30"/>
      <c r="Q226" s="30"/>
    </row>
    <row r="227" spans="2:17" x14ac:dyDescent="0.3">
      <c r="B227" s="29"/>
      <c r="C227" s="29"/>
      <c r="D227" s="67"/>
      <c r="E227" s="29"/>
      <c r="F227" s="29"/>
      <c r="G227" s="67"/>
      <c r="H227" s="29"/>
      <c r="I227" s="30"/>
      <c r="J227" s="30"/>
      <c r="K227" s="30"/>
      <c r="L227" s="30"/>
      <c r="M227" s="30"/>
      <c r="N227" s="30"/>
      <c r="O227" s="30"/>
      <c r="P227" s="30"/>
      <c r="Q227" s="30"/>
    </row>
    <row r="228" spans="2:17" x14ac:dyDescent="0.3">
      <c r="B228" s="29"/>
      <c r="C228" s="29"/>
      <c r="D228" s="67"/>
      <c r="E228" s="29"/>
      <c r="F228" s="29"/>
      <c r="G228" s="67"/>
      <c r="H228" s="29"/>
      <c r="I228" s="30"/>
      <c r="J228" s="30"/>
      <c r="K228" s="30"/>
      <c r="L228" s="30"/>
      <c r="M228" s="30"/>
      <c r="N228" s="30"/>
      <c r="O228" s="30"/>
      <c r="P228" s="30"/>
      <c r="Q228" s="30"/>
    </row>
    <row r="229" spans="2:17" x14ac:dyDescent="0.3">
      <c r="B229" s="29"/>
      <c r="C229" s="29"/>
      <c r="D229" s="67"/>
      <c r="E229" s="29"/>
      <c r="F229" s="29"/>
      <c r="G229" s="67"/>
      <c r="H229" s="29"/>
      <c r="I229" s="30"/>
      <c r="J229" s="30"/>
      <c r="K229" s="30"/>
      <c r="L229" s="30"/>
      <c r="M229" s="30"/>
      <c r="N229" s="30"/>
      <c r="O229" s="30"/>
      <c r="P229" s="30"/>
      <c r="Q229" s="30"/>
    </row>
    <row r="230" spans="2:17" x14ac:dyDescent="0.3">
      <c r="B230" s="29"/>
      <c r="C230" s="29"/>
      <c r="D230" s="67"/>
      <c r="E230" s="29"/>
      <c r="F230" s="29"/>
      <c r="G230" s="67"/>
      <c r="H230" s="29"/>
      <c r="I230" s="30"/>
      <c r="J230" s="30"/>
      <c r="K230" s="30"/>
      <c r="L230" s="30"/>
      <c r="M230" s="30"/>
      <c r="N230" s="30"/>
      <c r="O230" s="30"/>
      <c r="P230" s="30"/>
      <c r="Q230" s="30"/>
    </row>
    <row r="231" spans="2:17" x14ac:dyDescent="0.3">
      <c r="B231" s="29"/>
      <c r="C231" s="29"/>
      <c r="D231" s="67"/>
      <c r="E231" s="29"/>
      <c r="F231" s="29"/>
      <c r="G231" s="67"/>
      <c r="H231" s="29"/>
      <c r="I231" s="30"/>
      <c r="J231" s="30"/>
      <c r="K231" s="30"/>
      <c r="L231" s="30"/>
      <c r="M231" s="30"/>
      <c r="N231" s="30"/>
      <c r="O231" s="30"/>
      <c r="P231" s="30"/>
      <c r="Q231" s="30"/>
    </row>
    <row r="232" spans="2:17" x14ac:dyDescent="0.3">
      <c r="B232" s="29"/>
      <c r="C232" s="29"/>
      <c r="D232" s="67"/>
      <c r="E232" s="29"/>
      <c r="F232" s="29"/>
      <c r="G232" s="67"/>
      <c r="H232" s="29"/>
      <c r="I232" s="30"/>
      <c r="J232" s="30"/>
      <c r="K232" s="30"/>
      <c r="L232" s="30"/>
      <c r="M232" s="30"/>
      <c r="N232" s="30"/>
      <c r="O232" s="30"/>
      <c r="P232" s="30"/>
      <c r="Q232" s="30"/>
    </row>
    <row r="233" spans="2:17" x14ac:dyDescent="0.3">
      <c r="B233" s="29"/>
      <c r="C233" s="29"/>
      <c r="D233" s="67"/>
      <c r="E233" s="29"/>
      <c r="F233" s="29"/>
      <c r="G233" s="67"/>
      <c r="H233" s="29"/>
      <c r="I233" s="30"/>
      <c r="J233" s="30"/>
      <c r="K233" s="30"/>
      <c r="L233" s="30"/>
      <c r="M233" s="30"/>
      <c r="N233" s="30"/>
      <c r="O233" s="30"/>
      <c r="P233" s="30"/>
      <c r="Q233" s="30"/>
    </row>
    <row r="234" spans="2:17" x14ac:dyDescent="0.3">
      <c r="B234" s="29"/>
      <c r="C234" s="29"/>
      <c r="D234" s="67"/>
      <c r="E234" s="29"/>
      <c r="F234" s="29"/>
      <c r="G234" s="67"/>
      <c r="H234" s="29"/>
      <c r="I234" s="30"/>
      <c r="J234" s="30"/>
      <c r="K234" s="30"/>
      <c r="L234" s="30"/>
      <c r="M234" s="30"/>
      <c r="N234" s="30"/>
      <c r="O234" s="30"/>
      <c r="P234" s="30"/>
      <c r="Q234" s="30"/>
    </row>
    <row r="235" spans="2:17" x14ac:dyDescent="0.3">
      <c r="B235" s="29"/>
      <c r="C235" s="29"/>
      <c r="D235" s="67"/>
      <c r="E235" s="29"/>
      <c r="F235" s="29"/>
      <c r="G235" s="67"/>
      <c r="H235" s="29"/>
      <c r="I235" s="30"/>
      <c r="J235" s="30"/>
      <c r="K235" s="30"/>
      <c r="L235" s="30"/>
      <c r="M235" s="30"/>
      <c r="N235" s="30"/>
      <c r="O235" s="30"/>
      <c r="P235" s="30"/>
      <c r="Q235" s="30"/>
    </row>
    <row r="236" spans="2:17" x14ac:dyDescent="0.3">
      <c r="B236" s="29"/>
      <c r="C236" s="29"/>
      <c r="D236" s="67"/>
      <c r="E236" s="29"/>
      <c r="F236" s="29"/>
      <c r="G236" s="67"/>
      <c r="H236" s="29"/>
      <c r="I236" s="30"/>
      <c r="J236" s="30"/>
      <c r="K236" s="30"/>
      <c r="L236" s="30"/>
      <c r="M236" s="30"/>
      <c r="N236" s="30"/>
      <c r="O236" s="30"/>
      <c r="P236" s="30"/>
      <c r="Q236" s="30"/>
    </row>
    <row r="237" spans="2:17" x14ac:dyDescent="0.3">
      <c r="B237" s="29"/>
      <c r="C237" s="29"/>
      <c r="D237" s="67"/>
      <c r="E237" s="29"/>
      <c r="F237" s="29"/>
      <c r="G237" s="67"/>
      <c r="H237" s="29"/>
      <c r="I237" s="30"/>
      <c r="J237" s="30"/>
      <c r="K237" s="30"/>
      <c r="L237" s="30"/>
      <c r="M237" s="30"/>
      <c r="N237" s="30"/>
      <c r="O237" s="30"/>
      <c r="P237" s="30"/>
      <c r="Q237" s="30"/>
    </row>
    <row r="238" spans="2:17" x14ac:dyDescent="0.3">
      <c r="B238" s="29"/>
      <c r="C238" s="29"/>
      <c r="D238" s="67"/>
      <c r="E238" s="29"/>
      <c r="F238" s="29"/>
      <c r="G238" s="67"/>
      <c r="H238" s="29"/>
      <c r="I238" s="30"/>
      <c r="J238" s="30"/>
      <c r="K238" s="30"/>
      <c r="L238" s="30"/>
      <c r="M238" s="30"/>
      <c r="N238" s="30"/>
      <c r="O238" s="30"/>
      <c r="P238" s="30"/>
      <c r="Q238" s="30"/>
    </row>
  </sheetData>
  <mergeCells count="5">
    <mergeCell ref="A2:H2"/>
    <mergeCell ref="B5:D5"/>
    <mergeCell ref="E5:G5"/>
    <mergeCell ref="B18:D18"/>
    <mergeCell ref="E18:G18"/>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33">
    <tabColor indexed="52"/>
    <outlinePr applyStyles="1" summaryBelow="0"/>
    <pageSetUpPr fitToPage="1"/>
  </sheetPr>
  <dimension ref="A2:T248"/>
  <sheetViews>
    <sheetView workbookViewId="0">
      <selection activeCell="D6" sqref="D6"/>
    </sheetView>
  </sheetViews>
  <sheetFormatPr defaultColWidth="9.109375" defaultRowHeight="13.8" outlineLevelRow="1" x14ac:dyDescent="0.3"/>
  <cols>
    <col min="1" max="1" width="66" style="26" bestFit="1" customWidth="1"/>
    <col min="2" max="3" width="17" style="27" customWidth="1"/>
    <col min="4" max="4" width="18.33203125" style="27" customWidth="1"/>
    <col min="5" max="5" width="11.44140625" style="76" bestFit="1"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Державний та гарантований державою борг України за станом на 31.08.2026</v>
      </c>
      <c r="B2" s="3"/>
      <c r="C2" s="3"/>
      <c r="D2" s="3"/>
      <c r="E2" s="3"/>
      <c r="F2" s="30"/>
      <c r="G2" s="30"/>
      <c r="H2" s="30"/>
      <c r="I2" s="30"/>
      <c r="J2" s="30"/>
      <c r="K2" s="30"/>
      <c r="L2" s="30"/>
      <c r="M2" s="30"/>
      <c r="N2" s="30"/>
      <c r="O2" s="30"/>
      <c r="P2" s="30"/>
      <c r="Q2" s="30"/>
      <c r="R2" s="30"/>
      <c r="S2" s="30"/>
      <c r="T2" s="30"/>
    </row>
    <row r="3" spans="1:20" ht="18" x14ac:dyDescent="0.35">
      <c r="A3" s="1" t="str">
        <f>BY_REPAYMENT_CURR</f>
        <v>(в розрізі валют погашення)</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млрд. одиниць</v>
      </c>
    </row>
    <row r="6" spans="1:20" s="18" customFormat="1" x14ac:dyDescent="0.25">
      <c r="A6" s="16"/>
      <c r="B6" s="156" t="str">
        <f>USD</f>
        <v>дол. США</v>
      </c>
      <c r="C6" s="156" t="str">
        <f>EUR</f>
        <v>євро</v>
      </c>
      <c r="D6" s="156" t="str">
        <f>UAH</f>
        <v>грн.</v>
      </c>
      <c r="E6" s="73" t="s">
        <v>0</v>
      </c>
    </row>
    <row r="7" spans="1:20" s="19" customFormat="1" ht="15.6" x14ac:dyDescent="0.25">
      <c r="A7" s="157"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7" s="88">
        <f>SUM(B8:B26)</f>
        <v>215.55073598985001</v>
      </c>
      <c r="C7" s="88">
        <f>SUM(C8:C26)</f>
        <v>185.09674296469998</v>
      </c>
      <c r="D7" s="88">
        <f>SUM(D8:D26)</f>
        <v>9602.8930637009707</v>
      </c>
      <c r="E7" s="89">
        <f>SUM(E8:E26)</f>
        <v>1.0000009999999999</v>
      </c>
    </row>
    <row r="8" spans="1:20" s="42" customFormat="1" outlineLevel="1" x14ac:dyDescent="0.25">
      <c r="A8" s="174" t="s">
        <v>151</v>
      </c>
      <c r="B8" s="180">
        <v>1.05020610488</v>
      </c>
      <c r="C8" s="180">
        <v>0.90182818706000001</v>
      </c>
      <c r="D8" s="180">
        <v>46.787207075650002</v>
      </c>
      <c r="E8" s="244">
        <v>4.8719999999999996E-3</v>
      </c>
    </row>
    <row r="9" spans="1:20" s="42" customFormat="1" outlineLevel="1" x14ac:dyDescent="0.25">
      <c r="A9" s="174" t="s">
        <v>152</v>
      </c>
      <c r="B9" s="180">
        <v>49.451781718100001</v>
      </c>
      <c r="C9" s="180">
        <v>42.465008007530002</v>
      </c>
      <c r="D9" s="180">
        <v>2203.1016014322399</v>
      </c>
      <c r="E9" s="244">
        <v>0.22942100000000001</v>
      </c>
    </row>
    <row r="10" spans="1:20" s="42" customFormat="1" outlineLevel="1" x14ac:dyDescent="0.25">
      <c r="A10" s="174" t="s">
        <v>153</v>
      </c>
      <c r="B10" s="180">
        <v>96.940629834459997</v>
      </c>
      <c r="C10" s="180">
        <v>83.244414642859994</v>
      </c>
      <c r="D10" s="180">
        <v>4318.7535294374502</v>
      </c>
      <c r="E10" s="244">
        <v>0.449735</v>
      </c>
    </row>
    <row r="11" spans="1:20" s="42" customFormat="1" outlineLevel="1" x14ac:dyDescent="0.25">
      <c r="A11" s="174" t="s">
        <v>154</v>
      </c>
      <c r="B11" s="180">
        <v>4.8736119684399997</v>
      </c>
      <c r="C11" s="180">
        <v>4.18504579764</v>
      </c>
      <c r="D11" s="180">
        <v>217.12184999999999</v>
      </c>
      <c r="E11" s="244">
        <v>2.2610000000000002E-2</v>
      </c>
    </row>
    <row r="12" spans="1:20" s="42" customFormat="1" outlineLevel="1" x14ac:dyDescent="0.25">
      <c r="A12" s="174" t="s">
        <v>155</v>
      </c>
      <c r="B12" s="180">
        <v>19.32127082253</v>
      </c>
      <c r="C12" s="180">
        <v>16.591473384539999</v>
      </c>
      <c r="D12" s="180">
        <v>860.77227577894996</v>
      </c>
      <c r="E12" s="244">
        <v>8.9636999999999994E-2</v>
      </c>
    </row>
    <row r="13" spans="1:20" outlineLevel="1" x14ac:dyDescent="0.3">
      <c r="A13" s="245" t="s">
        <v>156</v>
      </c>
      <c r="B13" s="190">
        <v>43.06814144266</v>
      </c>
      <c r="C13" s="190">
        <v>36.983277602549997</v>
      </c>
      <c r="D13" s="190">
        <v>1918.70723532899</v>
      </c>
      <c r="E13" s="212">
        <v>0.19980500000000001</v>
      </c>
      <c r="F13" s="30"/>
      <c r="G13" s="30"/>
      <c r="H13" s="30"/>
      <c r="I13" s="30"/>
      <c r="J13" s="30"/>
      <c r="K13" s="30"/>
      <c r="L13" s="30"/>
      <c r="M13" s="30"/>
      <c r="N13" s="30"/>
      <c r="O13" s="30"/>
      <c r="P13" s="30"/>
      <c r="Q13" s="30"/>
      <c r="R13" s="30"/>
    </row>
    <row r="14" spans="1:20" outlineLevel="1" x14ac:dyDescent="0.3">
      <c r="A14" s="245" t="s">
        <v>157</v>
      </c>
      <c r="B14" s="190">
        <v>0.84509409877999997</v>
      </c>
      <c r="C14" s="190">
        <v>0.72569534252000001</v>
      </c>
      <c r="D14" s="190">
        <v>37.64936464769</v>
      </c>
      <c r="E14" s="212">
        <v>3.921E-3</v>
      </c>
      <c r="F14" s="30"/>
      <c r="G14" s="30"/>
      <c r="H14" s="30"/>
      <c r="I14" s="30"/>
      <c r="J14" s="30"/>
      <c r="K14" s="30"/>
      <c r="L14" s="30"/>
      <c r="M14" s="30"/>
      <c r="N14" s="30"/>
      <c r="O14" s="30"/>
      <c r="P14" s="30"/>
      <c r="Q14" s="30"/>
      <c r="R14" s="30"/>
    </row>
    <row r="15" spans="1:20" x14ac:dyDescent="0.3">
      <c r="B15" s="29"/>
      <c r="C15" s="29"/>
      <c r="D15" s="29"/>
      <c r="E15" s="67"/>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row r="246" spans="2:18" x14ac:dyDescent="0.3">
      <c r="B246" s="29"/>
      <c r="C246" s="29"/>
      <c r="D246" s="29"/>
      <c r="E246" s="67"/>
      <c r="F246" s="30"/>
      <c r="G246" s="30"/>
      <c r="H246" s="30"/>
      <c r="I246" s="30"/>
      <c r="J246" s="30"/>
      <c r="K246" s="30"/>
      <c r="L246" s="30"/>
      <c r="M246" s="30"/>
      <c r="N246" s="30"/>
      <c r="O246" s="30"/>
      <c r="P246" s="30"/>
      <c r="Q246" s="30"/>
      <c r="R246" s="30"/>
    </row>
    <row r="247" spans="2:18" x14ac:dyDescent="0.3">
      <c r="B247" s="29"/>
      <c r="C247" s="29"/>
      <c r="D247" s="29"/>
      <c r="E247" s="67"/>
      <c r="F247" s="30"/>
      <c r="G247" s="30"/>
      <c r="H247" s="30"/>
      <c r="I247" s="30"/>
      <c r="J247" s="30"/>
      <c r="K247" s="30"/>
      <c r="L247" s="30"/>
      <c r="M247" s="30"/>
      <c r="N247" s="30"/>
      <c r="O247" s="30"/>
      <c r="P247" s="30"/>
      <c r="Q247" s="30"/>
      <c r="R247" s="30"/>
    </row>
    <row r="248" spans="2:18" x14ac:dyDescent="0.3">
      <c r="B248" s="29"/>
      <c r="C248" s="29"/>
      <c r="D248" s="29"/>
      <c r="E248" s="67"/>
      <c r="F248" s="30"/>
      <c r="G248" s="30"/>
      <c r="H248" s="30"/>
      <c r="I248" s="30"/>
      <c r="J248" s="30"/>
      <c r="K248" s="30"/>
      <c r="L248" s="30"/>
      <c r="M248" s="30"/>
      <c r="N248" s="30"/>
      <c r="O248" s="30"/>
      <c r="P248" s="30"/>
      <c r="Q248" s="30"/>
      <c r="R248"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6">
    <tabColor indexed="52"/>
    <outlinePr applyStyles="1" summaryBelow="0"/>
    <pageSetUpPr fitToPage="1"/>
  </sheetPr>
  <dimension ref="A2:T246"/>
  <sheetViews>
    <sheetView workbookViewId="0">
      <selection activeCell="B25" sqref="B25"/>
    </sheetView>
  </sheetViews>
  <sheetFormatPr defaultColWidth="9.109375" defaultRowHeight="13.8" outlineLevelRow="3" x14ac:dyDescent="0.3"/>
  <cols>
    <col min="1" max="1" width="66" style="26" bestFit="1" customWidth="1"/>
    <col min="2" max="2" width="14.44140625" style="27" bestFit="1" customWidth="1"/>
    <col min="3" max="3" width="14.44140625" style="27" customWidth="1"/>
    <col min="4" max="4" width="16" style="27" bestFit="1" customWidth="1"/>
    <col min="5" max="5" width="11.44140625" style="76" bestFit="1" customWidth="1"/>
    <col min="6" max="6" width="9.109375" style="26" customWidth="1"/>
    <col min="7" max="16384" width="9.109375" style="26"/>
  </cols>
  <sheetData>
    <row r="2" spans="1:20" ht="36" customHeight="1" x14ac:dyDescent="0.35">
      <c r="A2" s="4" t="str">
        <f>DEBT_AS_OF_DATE</f>
        <v>Державний та гарантований державою борг України
станом на 31.08.2026</v>
      </c>
      <c r="B2" s="3"/>
      <c r="C2" s="3"/>
      <c r="D2" s="3"/>
      <c r="E2" s="3"/>
      <c r="F2" s="30"/>
      <c r="G2" s="30"/>
      <c r="H2" s="30"/>
      <c r="I2" s="30"/>
      <c r="J2" s="30"/>
      <c r="K2" s="30"/>
      <c r="L2" s="30"/>
      <c r="M2" s="30"/>
      <c r="N2" s="30"/>
      <c r="O2" s="30"/>
      <c r="P2" s="30"/>
      <c r="Q2" s="30"/>
      <c r="R2" s="30"/>
      <c r="S2" s="30"/>
      <c r="T2" s="30"/>
    </row>
    <row r="3" spans="1:20" ht="18" x14ac:dyDescent="0.35">
      <c r="A3" s="1" t="str">
        <f>BY_REPAYMENT_CURR</f>
        <v>(в розрізі валют погашення)</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млрд. одиниць</v>
      </c>
    </row>
    <row r="6" spans="1:20" s="18" customFormat="1" x14ac:dyDescent="0.25">
      <c r="A6" s="16"/>
      <c r="B6" s="72" t="str">
        <f>USD</f>
        <v>дол. США</v>
      </c>
      <c r="C6" s="72" t="str">
        <f>EUR</f>
        <v>євро</v>
      </c>
      <c r="D6" s="72" t="str">
        <f>UAH</f>
        <v>грн.</v>
      </c>
      <c r="E6" s="73" t="s">
        <v>0</v>
      </c>
    </row>
    <row r="7" spans="1:20" s="19" customFormat="1" ht="15.6" x14ac:dyDescent="0.25">
      <c r="A7" s="157" t="str">
        <f>DEBT_TOTAL</f>
        <v>Загальна сума державного та гарантованого державою боргу</v>
      </c>
      <c r="B7" s="88">
        <f>SUM(B8:B18)</f>
        <v>215.55073598985001</v>
      </c>
      <c r="C7" s="88">
        <f>SUM(C8:C18)</f>
        <v>185.09674296469998</v>
      </c>
      <c r="D7" s="88">
        <f>SUM(D8:D18)</f>
        <v>9602.8930637009707</v>
      </c>
      <c r="E7" s="89">
        <f>SUM(E8:E18)</f>
        <v>1.0000009999999999</v>
      </c>
    </row>
    <row r="8" spans="1:20" s="42" customFormat="1" outlineLevel="1" x14ac:dyDescent="0.25">
      <c r="A8" s="174" t="s">
        <v>151</v>
      </c>
      <c r="B8" s="180">
        <v>1.05020610488</v>
      </c>
      <c r="C8" s="180">
        <v>0.90182818706000001</v>
      </c>
      <c r="D8" s="180">
        <v>46.787207075650002</v>
      </c>
      <c r="E8" s="244">
        <v>4.8719999999999996E-3</v>
      </c>
    </row>
    <row r="9" spans="1:20" s="42" customFormat="1" outlineLevel="1" x14ac:dyDescent="0.25">
      <c r="A9" s="174" t="s">
        <v>152</v>
      </c>
      <c r="B9" s="180">
        <v>49.451781718100001</v>
      </c>
      <c r="C9" s="180">
        <v>42.465008007530002</v>
      </c>
      <c r="D9" s="180">
        <v>2203.1016014322399</v>
      </c>
      <c r="E9" s="244">
        <v>0.22942100000000001</v>
      </c>
    </row>
    <row r="10" spans="1:20" s="42" customFormat="1" outlineLevel="1" x14ac:dyDescent="0.25">
      <c r="A10" s="174" t="s">
        <v>153</v>
      </c>
      <c r="B10" s="180">
        <v>96.940629834459997</v>
      </c>
      <c r="C10" s="180">
        <v>83.244414642859994</v>
      </c>
      <c r="D10" s="180">
        <v>4318.7535294374502</v>
      </c>
      <c r="E10" s="244">
        <v>0.449735</v>
      </c>
    </row>
    <row r="11" spans="1:20" s="42" customFormat="1" outlineLevel="1" x14ac:dyDescent="0.25">
      <c r="A11" s="174" t="s">
        <v>154</v>
      </c>
      <c r="B11" s="180">
        <v>4.8736119684399997</v>
      </c>
      <c r="C11" s="180">
        <v>4.18504579764</v>
      </c>
      <c r="D11" s="180">
        <v>217.12184999999999</v>
      </c>
      <c r="E11" s="244">
        <v>2.2610000000000002E-2</v>
      </c>
    </row>
    <row r="12" spans="1:20" s="42" customFormat="1" outlineLevel="1" x14ac:dyDescent="0.25">
      <c r="A12" s="174" t="s">
        <v>155</v>
      </c>
      <c r="B12" s="180">
        <v>19.32127082253</v>
      </c>
      <c r="C12" s="180">
        <v>16.591473384539999</v>
      </c>
      <c r="D12" s="180">
        <v>860.77227577894996</v>
      </c>
      <c r="E12" s="244">
        <v>8.9636999999999994E-2</v>
      </c>
    </row>
    <row r="13" spans="1:20" outlineLevel="1" x14ac:dyDescent="0.3">
      <c r="A13" s="245" t="s">
        <v>156</v>
      </c>
      <c r="B13" s="190">
        <v>43.06814144266</v>
      </c>
      <c r="C13" s="190">
        <v>36.983277602549997</v>
      </c>
      <c r="D13" s="190">
        <v>1918.70723532899</v>
      </c>
      <c r="E13" s="212">
        <v>0.19980500000000001</v>
      </c>
      <c r="F13" s="30"/>
      <c r="G13" s="30"/>
      <c r="H13" s="30"/>
      <c r="I13" s="30"/>
      <c r="J13" s="30"/>
      <c r="K13" s="30"/>
      <c r="L13" s="30"/>
      <c r="M13" s="30"/>
      <c r="N13" s="30"/>
      <c r="O13" s="30"/>
      <c r="P13" s="30"/>
      <c r="Q13" s="30"/>
      <c r="R13" s="30"/>
    </row>
    <row r="14" spans="1:20" outlineLevel="1" x14ac:dyDescent="0.3">
      <c r="A14" s="245" t="s">
        <v>157</v>
      </c>
      <c r="B14" s="190">
        <v>0.84509409877999997</v>
      </c>
      <c r="C14" s="190">
        <v>0.72569534252000001</v>
      </c>
      <c r="D14" s="190">
        <v>37.64936464769</v>
      </c>
      <c r="E14" s="212">
        <v>3.921E-3</v>
      </c>
      <c r="F14" s="30"/>
      <c r="G14" s="30"/>
      <c r="H14" s="30"/>
      <c r="I14" s="30"/>
      <c r="J14" s="30"/>
      <c r="K14" s="30"/>
      <c r="L14" s="30"/>
      <c r="M14" s="30"/>
      <c r="N14" s="30"/>
      <c r="O14" s="30"/>
      <c r="P14" s="30"/>
      <c r="Q14" s="30"/>
      <c r="R14" s="30"/>
    </row>
    <row r="15" spans="1:20" x14ac:dyDescent="0.3">
      <c r="B15" s="29"/>
      <c r="C15" s="29"/>
      <c r="D15" s="29"/>
      <c r="E15" s="67"/>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1:20" x14ac:dyDescent="0.3">
      <c r="B17" s="29"/>
      <c r="C17" s="29"/>
      <c r="D17" s="29"/>
      <c r="E17" s="67"/>
      <c r="F17" s="30"/>
      <c r="G17" s="30"/>
      <c r="H17" s="30"/>
      <c r="I17" s="30"/>
      <c r="J17" s="30"/>
      <c r="K17" s="30"/>
      <c r="L17" s="30"/>
      <c r="M17" s="30"/>
      <c r="N17" s="30"/>
      <c r="O17" s="30"/>
      <c r="P17" s="30"/>
      <c r="Q17" s="30"/>
      <c r="R17" s="30"/>
    </row>
    <row r="18" spans="1:20" x14ac:dyDescent="0.3">
      <c r="B18" s="29"/>
      <c r="C18" s="29"/>
      <c r="D18" s="29"/>
      <c r="E18" s="67"/>
      <c r="F18" s="30"/>
      <c r="G18" s="30"/>
      <c r="H18" s="30"/>
      <c r="I18" s="30"/>
      <c r="J18" s="30"/>
      <c r="K18" s="30"/>
      <c r="L18" s="30"/>
      <c r="M18" s="30"/>
      <c r="N18" s="30"/>
      <c r="O18" s="30"/>
      <c r="P18" s="30"/>
      <c r="Q18" s="30"/>
      <c r="R18" s="30"/>
    </row>
    <row r="19" spans="1:20" x14ac:dyDescent="0.3">
      <c r="B19" s="29"/>
      <c r="C19" s="29"/>
      <c r="D19" s="29"/>
      <c r="E19" s="67"/>
      <c r="F19" s="30"/>
      <c r="G19" s="30"/>
      <c r="H19" s="30"/>
      <c r="I19" s="30"/>
      <c r="J19" s="30"/>
      <c r="K19" s="30"/>
      <c r="L19" s="30"/>
      <c r="M19" s="30"/>
      <c r="N19" s="30"/>
      <c r="O19" s="30"/>
      <c r="P19" s="30"/>
      <c r="Q19" s="30"/>
      <c r="R19" s="30"/>
    </row>
    <row r="20" spans="1:20" x14ac:dyDescent="0.3">
      <c r="A20" s="44" t="str">
        <f>INCLUDING</f>
        <v>В тому числі:</v>
      </c>
      <c r="B20" s="29"/>
      <c r="C20" s="29"/>
      <c r="D20" s="29"/>
      <c r="E20" s="67"/>
      <c r="F20" s="30"/>
      <c r="G20" s="30"/>
      <c r="H20" s="30"/>
      <c r="I20" s="30"/>
      <c r="J20" s="30"/>
      <c r="K20" s="30"/>
      <c r="L20" s="30"/>
      <c r="M20" s="30"/>
      <c r="N20" s="30"/>
      <c r="O20" s="30"/>
      <c r="P20" s="30"/>
      <c r="Q20" s="30"/>
      <c r="R20" s="30"/>
    </row>
    <row r="21" spans="1:20" x14ac:dyDescent="0.3">
      <c r="B21" s="80"/>
      <c r="C21" s="80"/>
      <c r="D21" s="29"/>
      <c r="E21" s="31" t="str">
        <f>VALVAL</f>
        <v>млрд. одиниць</v>
      </c>
      <c r="F21" s="30"/>
      <c r="G21" s="30"/>
      <c r="H21" s="30"/>
      <c r="I21" s="30"/>
      <c r="J21" s="30"/>
      <c r="K21" s="30"/>
      <c r="L21" s="30"/>
      <c r="M21" s="30"/>
      <c r="N21" s="30"/>
      <c r="O21" s="30"/>
      <c r="P21" s="30"/>
      <c r="Q21" s="30"/>
      <c r="R21" s="30"/>
    </row>
    <row r="22" spans="1:20" s="38" customFormat="1" x14ac:dyDescent="0.3">
      <c r="A22" s="16"/>
      <c r="B22" s="72" t="str">
        <f>USD</f>
        <v>дол. США</v>
      </c>
      <c r="C22" s="72" t="str">
        <f>EUR</f>
        <v>євро</v>
      </c>
      <c r="D22" s="72" t="str">
        <f>UAH</f>
        <v>грн.</v>
      </c>
      <c r="E22" s="73" t="s">
        <v>0</v>
      </c>
      <c r="F22" s="18"/>
      <c r="G22" s="18"/>
      <c r="H22" s="18"/>
      <c r="I22" s="18"/>
      <c r="J22" s="18"/>
      <c r="K22" s="18"/>
      <c r="L22" s="18"/>
      <c r="M22" s="18"/>
      <c r="N22" s="18"/>
      <c r="O22" s="18"/>
      <c r="P22" s="18"/>
      <c r="Q22" s="18"/>
      <c r="R22" s="18"/>
      <c r="S22" s="18"/>
      <c r="T22" s="18"/>
    </row>
    <row r="23" spans="1:20" s="40" customFormat="1" ht="14.4" x14ac:dyDescent="0.3">
      <c r="A23" s="165" t="str">
        <f>DEBT_TOTAL</f>
        <v>Загальна сума державного та гарантованого державою боргу</v>
      </c>
      <c r="B23" s="90">
        <f>B$24+B$36</f>
        <v>215.55073598984998</v>
      </c>
      <c r="C23" s="90">
        <f>C$24+C$36</f>
        <v>185.09674296469998</v>
      </c>
      <c r="D23" s="90">
        <f>D$24+D$36</f>
        <v>9602.8930637009707</v>
      </c>
      <c r="E23" s="91">
        <f>E$24+E$36</f>
        <v>0.99999999999999989</v>
      </c>
      <c r="F23" s="39"/>
      <c r="G23" s="39"/>
      <c r="H23" s="39"/>
      <c r="I23" s="39"/>
      <c r="J23" s="39"/>
      <c r="K23" s="39"/>
      <c r="L23" s="39"/>
      <c r="M23" s="39"/>
      <c r="N23" s="39"/>
      <c r="O23" s="39"/>
      <c r="P23" s="39"/>
      <c r="Q23" s="39"/>
      <c r="R23" s="39"/>
    </row>
    <row r="24" spans="1:20" s="66" customFormat="1" ht="14.4" outlineLevel="1" x14ac:dyDescent="0.3">
      <c r="A24" s="263" t="s">
        <v>1</v>
      </c>
      <c r="B24" s="264">
        <f>B$25+B$29</f>
        <v>209.76376640346999</v>
      </c>
      <c r="C24" s="264">
        <f>C$25+C$29</f>
        <v>180.12738288729997</v>
      </c>
      <c r="D24" s="264">
        <f>D$25+D$29</f>
        <v>9345.0806751427208</v>
      </c>
      <c r="E24" s="265">
        <f>E$25+E$29</f>
        <v>0.97315299999999993</v>
      </c>
      <c r="F24" s="65"/>
      <c r="G24" s="65"/>
      <c r="H24" s="65"/>
      <c r="I24" s="65"/>
      <c r="J24" s="65"/>
      <c r="K24" s="65"/>
      <c r="L24" s="65"/>
      <c r="M24" s="65"/>
      <c r="N24" s="65"/>
      <c r="O24" s="65"/>
      <c r="P24" s="65"/>
      <c r="Q24" s="65"/>
      <c r="R24" s="65"/>
    </row>
    <row r="25" spans="1:20" s="66" customFormat="1" ht="14.4" outlineLevel="2" x14ac:dyDescent="0.3">
      <c r="A25" s="266" t="s">
        <v>3</v>
      </c>
      <c r="B25" s="267">
        <f>SUM(B$26:B$28)</f>
        <v>44.968409390170002</v>
      </c>
      <c r="C25" s="267">
        <f>SUM(C$26:C$28)</f>
        <v>38.615067010400004</v>
      </c>
      <c r="D25" s="267">
        <f>SUM(D$26:D$28)</f>
        <v>2003.3651225245599</v>
      </c>
      <c r="E25" s="268">
        <f>SUM(E$26:E$28)</f>
        <v>0.208621</v>
      </c>
      <c r="F25" s="65"/>
      <c r="G25" s="65"/>
      <c r="H25" s="65"/>
      <c r="I25" s="65"/>
      <c r="J25" s="65"/>
      <c r="K25" s="65"/>
      <c r="L25" s="65"/>
      <c r="M25" s="65"/>
      <c r="N25" s="65"/>
      <c r="O25" s="65"/>
      <c r="P25" s="65"/>
      <c r="Q25" s="65"/>
      <c r="R25" s="65"/>
    </row>
    <row r="26" spans="1:20" s="44" customFormat="1" outlineLevel="3" x14ac:dyDescent="0.3">
      <c r="A26" s="269" t="s">
        <v>152</v>
      </c>
      <c r="B26" s="175">
        <v>2.2209850000000002</v>
      </c>
      <c r="C26" s="175">
        <v>1.9071940895399999</v>
      </c>
      <c r="D26" s="175">
        <v>98.945992242499997</v>
      </c>
      <c r="E26" s="178">
        <v>1.0304000000000001E-2</v>
      </c>
      <c r="F26" s="43"/>
      <c r="G26" s="43"/>
      <c r="H26" s="43"/>
      <c r="I26" s="43"/>
      <c r="J26" s="43"/>
      <c r="K26" s="43"/>
      <c r="L26" s="43"/>
      <c r="M26" s="43"/>
      <c r="N26" s="43"/>
      <c r="O26" s="43"/>
      <c r="P26" s="43"/>
      <c r="Q26" s="43"/>
      <c r="R26" s="43"/>
    </row>
    <row r="27" spans="1:20" outlineLevel="3" x14ac:dyDescent="0.3">
      <c r="A27" s="269" t="s">
        <v>153</v>
      </c>
      <c r="B27" s="176">
        <v>1.0559901082700001</v>
      </c>
      <c r="C27" s="176">
        <v>0.90679500000000002</v>
      </c>
      <c r="D27" s="176">
        <v>47.044887318000001</v>
      </c>
      <c r="E27" s="179">
        <v>4.8989999999999997E-3</v>
      </c>
      <c r="F27" s="30"/>
      <c r="G27" s="30"/>
      <c r="H27" s="30"/>
      <c r="I27" s="30"/>
      <c r="J27" s="30"/>
      <c r="K27" s="30"/>
      <c r="L27" s="30"/>
      <c r="M27" s="30"/>
      <c r="N27" s="30"/>
      <c r="O27" s="30"/>
      <c r="P27" s="30"/>
      <c r="Q27" s="30"/>
      <c r="R27" s="30"/>
    </row>
    <row r="28" spans="1:20" outlineLevel="3" x14ac:dyDescent="0.3">
      <c r="A28" s="270" t="s">
        <v>156</v>
      </c>
      <c r="B28" s="190">
        <v>41.691434281900001</v>
      </c>
      <c r="C28" s="190">
        <v>35.801077920860003</v>
      </c>
      <c r="D28" s="190">
        <v>1857.3742429640599</v>
      </c>
      <c r="E28" s="212">
        <v>0.19341800000000001</v>
      </c>
      <c r="F28" s="30"/>
      <c r="G28" s="30"/>
      <c r="H28" s="30"/>
      <c r="I28" s="30"/>
      <c r="J28" s="30"/>
      <c r="K28" s="30"/>
      <c r="L28" s="30"/>
      <c r="M28" s="30"/>
      <c r="N28" s="30"/>
      <c r="O28" s="30"/>
      <c r="P28" s="30"/>
      <c r="Q28" s="30"/>
      <c r="R28" s="30"/>
    </row>
    <row r="29" spans="1:20" ht="14.4" outlineLevel="2" x14ac:dyDescent="0.3">
      <c r="A29" s="271" t="s">
        <v>22</v>
      </c>
      <c r="B29" s="272">
        <f>SUM(B$30:B$35)</f>
        <v>164.79535701329999</v>
      </c>
      <c r="C29" s="272">
        <f>SUM(C$30:C$35)</f>
        <v>141.51231587689998</v>
      </c>
      <c r="D29" s="272">
        <f>SUM(D$30:D$35)</f>
        <v>7341.7155526181614</v>
      </c>
      <c r="E29" s="273">
        <f>SUM(E$30:E$35)</f>
        <v>0.76453199999999999</v>
      </c>
      <c r="F29" s="30"/>
      <c r="G29" s="30"/>
      <c r="H29" s="30"/>
      <c r="I29" s="30"/>
      <c r="J29" s="30"/>
      <c r="K29" s="30"/>
      <c r="L29" s="30"/>
      <c r="M29" s="30"/>
      <c r="N29" s="30"/>
      <c r="O29" s="30"/>
      <c r="P29" s="30"/>
      <c r="Q29" s="30"/>
      <c r="R29" s="30"/>
    </row>
    <row r="30" spans="1:20" outlineLevel="3" x14ac:dyDescent="0.3">
      <c r="A30" s="270" t="s">
        <v>151</v>
      </c>
      <c r="B30" s="190">
        <v>1.05020610488</v>
      </c>
      <c r="C30" s="190">
        <v>0.90182818706000001</v>
      </c>
      <c r="D30" s="190">
        <v>46.787207075650002</v>
      </c>
      <c r="E30" s="212">
        <v>4.8719999999999996E-3</v>
      </c>
      <c r="F30" s="30"/>
      <c r="G30" s="30"/>
      <c r="H30" s="30"/>
      <c r="I30" s="30"/>
      <c r="J30" s="30"/>
      <c r="K30" s="30"/>
      <c r="L30" s="30"/>
      <c r="M30" s="30"/>
      <c r="N30" s="30"/>
      <c r="O30" s="30"/>
      <c r="P30" s="30"/>
      <c r="Q30" s="30"/>
      <c r="R30" s="30"/>
    </row>
    <row r="31" spans="1:20" outlineLevel="3" x14ac:dyDescent="0.3">
      <c r="A31" s="191" t="s">
        <v>152</v>
      </c>
      <c r="B31" s="190">
        <v>44.915368319590002</v>
      </c>
      <c r="C31" s="190">
        <v>38.569519824879997</v>
      </c>
      <c r="D31" s="190">
        <v>2001.0021163219201</v>
      </c>
      <c r="E31" s="212">
        <v>0.208375</v>
      </c>
      <c r="F31" s="30"/>
      <c r="G31" s="30"/>
      <c r="H31" s="30"/>
      <c r="I31" s="30"/>
      <c r="J31" s="30"/>
      <c r="K31" s="30"/>
      <c r="L31" s="30"/>
      <c r="M31" s="30"/>
      <c r="N31" s="30"/>
      <c r="O31" s="30"/>
      <c r="P31" s="30"/>
      <c r="Q31" s="30"/>
      <c r="R31" s="30"/>
    </row>
    <row r="32" spans="1:20" outlineLevel="3" x14ac:dyDescent="0.3">
      <c r="A32" s="191" t="s">
        <v>153</v>
      </c>
      <c r="B32" s="190">
        <v>94.150451197199999</v>
      </c>
      <c r="C32" s="190">
        <v>80.848445194289994</v>
      </c>
      <c r="D32" s="190">
        <v>4194.4496760578504</v>
      </c>
      <c r="E32" s="212">
        <v>0.43679000000000001</v>
      </c>
      <c r="F32" s="30"/>
      <c r="G32" s="30"/>
      <c r="H32" s="30"/>
      <c r="I32" s="30"/>
      <c r="J32" s="30"/>
      <c r="K32" s="30"/>
      <c r="L32" s="30"/>
      <c r="M32" s="30"/>
      <c r="N32" s="30"/>
      <c r="O32" s="30"/>
      <c r="P32" s="30"/>
      <c r="Q32" s="30"/>
      <c r="R32" s="30"/>
    </row>
    <row r="33" spans="1:18" outlineLevel="3" x14ac:dyDescent="0.3">
      <c r="A33" s="191" t="s">
        <v>154</v>
      </c>
      <c r="B33" s="190">
        <v>4.8736119684399997</v>
      </c>
      <c r="C33" s="190">
        <v>4.18504579764</v>
      </c>
      <c r="D33" s="190">
        <v>217.12184999999999</v>
      </c>
      <c r="E33" s="212">
        <v>2.2610000000000002E-2</v>
      </c>
      <c r="F33" s="30"/>
      <c r="G33" s="30"/>
      <c r="H33" s="30"/>
      <c r="I33" s="30"/>
      <c r="J33" s="30"/>
      <c r="K33" s="30"/>
      <c r="L33" s="30"/>
      <c r="M33" s="30"/>
      <c r="N33" s="30"/>
      <c r="O33" s="30"/>
      <c r="P33" s="30"/>
      <c r="Q33" s="30"/>
      <c r="R33" s="30"/>
    </row>
    <row r="34" spans="1:18" outlineLevel="3" x14ac:dyDescent="0.3">
      <c r="A34" s="191" t="s">
        <v>155</v>
      </c>
      <c r="B34" s="190">
        <v>18.96062532441</v>
      </c>
      <c r="C34" s="190">
        <v>16.281781530509999</v>
      </c>
      <c r="D34" s="190">
        <v>844.70533851505002</v>
      </c>
      <c r="E34" s="212">
        <v>8.7964000000000001E-2</v>
      </c>
      <c r="F34" s="30"/>
      <c r="G34" s="30"/>
      <c r="H34" s="30"/>
      <c r="I34" s="30"/>
      <c r="J34" s="30"/>
      <c r="K34" s="30"/>
      <c r="L34" s="30"/>
      <c r="M34" s="30"/>
      <c r="N34" s="30"/>
      <c r="O34" s="30"/>
      <c r="P34" s="30"/>
      <c r="Q34" s="30"/>
      <c r="R34" s="30"/>
    </row>
    <row r="35" spans="1:18" outlineLevel="3" x14ac:dyDescent="0.3">
      <c r="A35" s="191" t="s">
        <v>157</v>
      </c>
      <c r="B35" s="190">
        <v>0.84509409877999997</v>
      </c>
      <c r="C35" s="190">
        <v>0.72569534252000001</v>
      </c>
      <c r="D35" s="190">
        <v>37.64936464769</v>
      </c>
      <c r="E35" s="212">
        <v>3.921E-3</v>
      </c>
      <c r="F35" s="30"/>
      <c r="G35" s="30"/>
      <c r="H35" s="30"/>
      <c r="I35" s="30"/>
      <c r="J35" s="30"/>
      <c r="K35" s="30"/>
      <c r="L35" s="30"/>
      <c r="M35" s="30"/>
      <c r="N35" s="30"/>
      <c r="O35" s="30"/>
      <c r="P35" s="30"/>
      <c r="Q35" s="30"/>
      <c r="R35" s="30"/>
    </row>
    <row r="36" spans="1:18" ht="14.4" outlineLevel="1" x14ac:dyDescent="0.3">
      <c r="A36" s="274" t="s">
        <v>2</v>
      </c>
      <c r="B36" s="275">
        <f>B$37+B$40</f>
        <v>5.7869695863799997</v>
      </c>
      <c r="C36" s="275">
        <f>C$37+C$40</f>
        <v>4.9693600774000002</v>
      </c>
      <c r="D36" s="275">
        <f>D$37+D$40</f>
        <v>257.81238855825001</v>
      </c>
      <c r="E36" s="276">
        <f>E$37+E$40</f>
        <v>2.6847000000000003E-2</v>
      </c>
      <c r="F36" s="30"/>
      <c r="G36" s="30"/>
      <c r="H36" s="30"/>
      <c r="I36" s="30"/>
      <c r="J36" s="30"/>
      <c r="K36" s="30"/>
      <c r="L36" s="30"/>
      <c r="M36" s="30"/>
      <c r="N36" s="30"/>
      <c r="O36" s="30"/>
      <c r="P36" s="30"/>
      <c r="Q36" s="30"/>
      <c r="R36" s="30"/>
    </row>
    <row r="37" spans="1:18" ht="14.4" outlineLevel="2" x14ac:dyDescent="0.3">
      <c r="A37" s="277" t="s">
        <v>3</v>
      </c>
      <c r="B37" s="272">
        <f>SUM(B$38:B$39)</f>
        <v>1.3874904942000001</v>
      </c>
      <c r="C37" s="272">
        <f>SUM(C$38:C$39)</f>
        <v>1.1914594965</v>
      </c>
      <c r="D37" s="272">
        <f>SUM(D$38:D$39)</f>
        <v>61.813395261350003</v>
      </c>
      <c r="E37" s="273">
        <f>SUM(E$38:E$39)</f>
        <v>6.437E-3</v>
      </c>
      <c r="F37" s="30"/>
      <c r="G37" s="30"/>
      <c r="H37" s="30"/>
      <c r="I37" s="30"/>
      <c r="J37" s="30"/>
      <c r="K37" s="30"/>
      <c r="L37" s="30"/>
      <c r="M37" s="30"/>
      <c r="N37" s="30"/>
      <c r="O37" s="30"/>
      <c r="P37" s="30"/>
      <c r="Q37" s="30"/>
      <c r="R37" s="30"/>
    </row>
    <row r="38" spans="1:18" outlineLevel="3" x14ac:dyDescent="0.3">
      <c r="A38" s="191" t="s">
        <v>152</v>
      </c>
      <c r="B38" s="190">
        <v>1.0783333440000001E-2</v>
      </c>
      <c r="C38" s="190">
        <v>9.2598148099999993E-3</v>
      </c>
      <c r="D38" s="190">
        <v>0.48040289642</v>
      </c>
      <c r="E38" s="212">
        <v>5.0000000000000002E-5</v>
      </c>
      <c r="F38" s="30"/>
      <c r="G38" s="30"/>
      <c r="H38" s="30"/>
      <c r="I38" s="30"/>
      <c r="J38" s="30"/>
      <c r="K38" s="30"/>
      <c r="L38" s="30"/>
      <c r="M38" s="30"/>
      <c r="N38" s="30"/>
      <c r="O38" s="30"/>
      <c r="P38" s="30"/>
      <c r="Q38" s="30"/>
      <c r="R38" s="30"/>
    </row>
    <row r="39" spans="1:18" outlineLevel="3" x14ac:dyDescent="0.3">
      <c r="A39" s="191" t="s">
        <v>156</v>
      </c>
      <c r="B39" s="190">
        <v>1.3767071607600001</v>
      </c>
      <c r="C39" s="190">
        <v>1.18219968169</v>
      </c>
      <c r="D39" s="190">
        <v>61.33299236493</v>
      </c>
      <c r="E39" s="212">
        <v>6.3870000000000003E-3</v>
      </c>
      <c r="F39" s="30"/>
      <c r="G39" s="30"/>
      <c r="H39" s="30"/>
      <c r="I39" s="30"/>
      <c r="J39" s="30"/>
      <c r="K39" s="30"/>
      <c r="L39" s="30"/>
      <c r="M39" s="30"/>
      <c r="N39" s="30"/>
      <c r="O39" s="30"/>
      <c r="P39" s="30"/>
      <c r="Q39" s="30"/>
      <c r="R39" s="30"/>
    </row>
    <row r="40" spans="1:18" ht="14.4" outlineLevel="2" x14ac:dyDescent="0.3">
      <c r="A40" s="277" t="s">
        <v>22</v>
      </c>
      <c r="B40" s="272">
        <f>SUM(B$41:B$43)</f>
        <v>4.39947909218</v>
      </c>
      <c r="C40" s="272">
        <f>SUM(C$41:C$43)</f>
        <v>3.7779005808999999</v>
      </c>
      <c r="D40" s="272">
        <f>SUM(D$41:D$43)</f>
        <v>195.99899329690001</v>
      </c>
      <c r="E40" s="273">
        <f>SUM(E$41:E$43)</f>
        <v>2.0410000000000001E-2</v>
      </c>
      <c r="F40" s="30"/>
      <c r="G40" s="30"/>
      <c r="H40" s="30"/>
      <c r="I40" s="30"/>
      <c r="J40" s="30"/>
      <c r="K40" s="30"/>
      <c r="L40" s="30"/>
      <c r="M40" s="30"/>
      <c r="N40" s="30"/>
      <c r="O40" s="30"/>
      <c r="P40" s="30"/>
      <c r="Q40" s="30"/>
      <c r="R40" s="30"/>
    </row>
    <row r="41" spans="1:18" outlineLevel="3" x14ac:dyDescent="0.3">
      <c r="A41" s="191" t="s">
        <v>152</v>
      </c>
      <c r="B41" s="190">
        <v>2.3046450650699999</v>
      </c>
      <c r="C41" s="190">
        <v>1.9790342782999999</v>
      </c>
      <c r="D41" s="190">
        <v>102.6730899714</v>
      </c>
      <c r="E41" s="212">
        <v>1.0692E-2</v>
      </c>
      <c r="F41" s="30"/>
      <c r="G41" s="30"/>
      <c r="H41" s="30"/>
      <c r="I41" s="30"/>
      <c r="J41" s="30"/>
      <c r="K41" s="30"/>
      <c r="L41" s="30"/>
      <c r="M41" s="30"/>
      <c r="N41" s="30"/>
      <c r="O41" s="30"/>
      <c r="P41" s="30"/>
      <c r="Q41" s="30"/>
      <c r="R41" s="30"/>
    </row>
    <row r="42" spans="1:18" outlineLevel="3" x14ac:dyDescent="0.3">
      <c r="A42" s="191" t="s">
        <v>153</v>
      </c>
      <c r="B42" s="190">
        <v>1.7341885289900001</v>
      </c>
      <c r="C42" s="190">
        <v>1.48917444857</v>
      </c>
      <c r="D42" s="190">
        <v>77.258966061600006</v>
      </c>
      <c r="E42" s="212">
        <v>8.0450000000000001E-3</v>
      </c>
      <c r="F42" s="30"/>
      <c r="G42" s="30"/>
      <c r="H42" s="30"/>
      <c r="I42" s="30"/>
      <c r="J42" s="30"/>
      <c r="K42" s="30"/>
      <c r="L42" s="30"/>
      <c r="M42" s="30"/>
      <c r="N42" s="30"/>
      <c r="O42" s="30"/>
      <c r="P42" s="30"/>
      <c r="Q42" s="30"/>
      <c r="R42" s="30"/>
    </row>
    <row r="43" spans="1:18" outlineLevel="3" x14ac:dyDescent="0.3">
      <c r="A43" s="191" t="s">
        <v>155</v>
      </c>
      <c r="B43" s="190">
        <v>0.36064549812000002</v>
      </c>
      <c r="C43" s="190">
        <v>0.30969185402999999</v>
      </c>
      <c r="D43" s="190">
        <v>16.066937263900002</v>
      </c>
      <c r="E43" s="212">
        <v>1.673E-3</v>
      </c>
      <c r="F43" s="30"/>
      <c r="G43" s="30"/>
      <c r="H43" s="30"/>
      <c r="I43" s="30"/>
      <c r="J43" s="30"/>
      <c r="K43" s="30"/>
      <c r="L43" s="30"/>
      <c r="M43" s="30"/>
      <c r="N43" s="30"/>
      <c r="O43" s="30"/>
      <c r="P43" s="30"/>
      <c r="Q43" s="30"/>
      <c r="R43" s="30"/>
    </row>
    <row r="44" spans="1:18" x14ac:dyDescent="0.3">
      <c r="B44" s="29"/>
      <c r="C44" s="29"/>
      <c r="D44" s="29"/>
      <c r="E44" s="67"/>
      <c r="F44" s="30"/>
      <c r="G44" s="30"/>
      <c r="H44" s="30"/>
      <c r="I44" s="30"/>
      <c r="J44" s="30"/>
      <c r="K44" s="30"/>
      <c r="L44" s="30"/>
      <c r="M44" s="30"/>
      <c r="N44" s="30"/>
      <c r="O44" s="30"/>
      <c r="P44" s="30"/>
      <c r="Q44" s="30"/>
      <c r="R44" s="30"/>
    </row>
    <row r="45" spans="1:18" x14ac:dyDescent="0.3">
      <c r="B45" s="29"/>
      <c r="C45" s="29"/>
      <c r="D45" s="29"/>
      <c r="E45" s="67"/>
      <c r="F45" s="30"/>
      <c r="G45" s="30"/>
      <c r="H45" s="30"/>
      <c r="I45" s="30"/>
      <c r="J45" s="30"/>
      <c r="K45" s="30"/>
      <c r="L45" s="30"/>
      <c r="M45" s="30"/>
      <c r="N45" s="30"/>
      <c r="O45" s="30"/>
      <c r="P45" s="30"/>
      <c r="Q45" s="30"/>
      <c r="R45" s="30"/>
    </row>
    <row r="46" spans="1:18" x14ac:dyDescent="0.3">
      <c r="B46" s="29"/>
      <c r="C46" s="29"/>
      <c r="D46" s="29"/>
      <c r="E46" s="67"/>
      <c r="F46" s="30"/>
      <c r="G46" s="30"/>
      <c r="H46" s="30"/>
      <c r="I46" s="30"/>
      <c r="J46" s="30"/>
      <c r="K46" s="30"/>
      <c r="L46" s="30"/>
      <c r="M46" s="30"/>
      <c r="N46" s="30"/>
      <c r="O46" s="30"/>
      <c r="P46" s="30"/>
      <c r="Q46" s="30"/>
      <c r="R46" s="30"/>
    </row>
    <row r="47" spans="1:18" x14ac:dyDescent="0.3">
      <c r="B47" s="29"/>
      <c r="C47" s="29"/>
      <c r="D47" s="29"/>
      <c r="E47" s="67"/>
      <c r="F47" s="30"/>
      <c r="G47" s="30"/>
      <c r="H47" s="30"/>
      <c r="I47" s="30"/>
      <c r="J47" s="30"/>
      <c r="K47" s="30"/>
      <c r="L47" s="30"/>
      <c r="M47" s="30"/>
      <c r="N47" s="30"/>
      <c r="O47" s="30"/>
      <c r="P47" s="30"/>
      <c r="Q47" s="30"/>
      <c r="R47" s="30"/>
    </row>
    <row r="48" spans="1: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row r="184" spans="2:18" x14ac:dyDescent="0.3">
      <c r="B184" s="29"/>
      <c r="C184" s="29"/>
      <c r="D184" s="29"/>
      <c r="E184" s="67"/>
      <c r="F184" s="30"/>
      <c r="G184" s="30"/>
      <c r="H184" s="30"/>
      <c r="I184" s="30"/>
      <c r="J184" s="30"/>
      <c r="K184" s="30"/>
      <c r="L184" s="30"/>
      <c r="M184" s="30"/>
      <c r="N184" s="30"/>
      <c r="O184" s="30"/>
      <c r="P184" s="30"/>
      <c r="Q184" s="30"/>
      <c r="R184" s="30"/>
    </row>
    <row r="185" spans="2:18" x14ac:dyDescent="0.3">
      <c r="B185" s="29"/>
      <c r="C185" s="29"/>
      <c r="D185" s="29"/>
      <c r="E185" s="67"/>
      <c r="F185" s="30"/>
      <c r="G185" s="30"/>
      <c r="H185" s="30"/>
      <c r="I185" s="30"/>
      <c r="J185" s="30"/>
      <c r="K185" s="30"/>
      <c r="L185" s="30"/>
      <c r="M185" s="30"/>
      <c r="N185" s="30"/>
      <c r="O185" s="30"/>
      <c r="P185" s="30"/>
      <c r="Q185" s="30"/>
      <c r="R185" s="30"/>
    </row>
    <row r="186" spans="2:18" x14ac:dyDescent="0.3">
      <c r="B186" s="29"/>
      <c r="C186" s="29"/>
      <c r="D186" s="29"/>
      <c r="E186" s="67"/>
      <c r="F186" s="30"/>
      <c r="G186" s="30"/>
      <c r="H186" s="30"/>
      <c r="I186" s="30"/>
      <c r="J186" s="30"/>
      <c r="K186" s="30"/>
      <c r="L186" s="30"/>
      <c r="M186" s="30"/>
      <c r="N186" s="30"/>
      <c r="O186" s="30"/>
      <c r="P186" s="30"/>
      <c r="Q186" s="30"/>
      <c r="R186" s="30"/>
    </row>
    <row r="187" spans="2:18" x14ac:dyDescent="0.3">
      <c r="B187" s="29"/>
      <c r="C187" s="29"/>
      <c r="D187" s="29"/>
      <c r="E187" s="67"/>
      <c r="F187" s="30"/>
      <c r="G187" s="30"/>
      <c r="H187" s="30"/>
      <c r="I187" s="30"/>
      <c r="J187" s="30"/>
      <c r="K187" s="30"/>
      <c r="L187" s="30"/>
      <c r="M187" s="30"/>
      <c r="N187" s="30"/>
      <c r="O187" s="30"/>
      <c r="P187" s="30"/>
      <c r="Q187" s="30"/>
      <c r="R187" s="30"/>
    </row>
    <row r="188" spans="2:18" x14ac:dyDescent="0.3">
      <c r="B188" s="29"/>
      <c r="C188" s="29"/>
      <c r="D188" s="29"/>
      <c r="E188" s="67"/>
      <c r="F188" s="30"/>
      <c r="G188" s="30"/>
      <c r="H188" s="30"/>
      <c r="I188" s="30"/>
      <c r="J188" s="30"/>
      <c r="K188" s="30"/>
      <c r="L188" s="30"/>
      <c r="M188" s="30"/>
      <c r="N188" s="30"/>
      <c r="O188" s="30"/>
      <c r="P188" s="30"/>
      <c r="Q188" s="30"/>
      <c r="R188" s="30"/>
    </row>
    <row r="189" spans="2:18" x14ac:dyDescent="0.3">
      <c r="B189" s="29"/>
      <c r="C189" s="29"/>
      <c r="D189" s="29"/>
      <c r="E189" s="67"/>
      <c r="F189" s="30"/>
      <c r="G189" s="30"/>
      <c r="H189" s="30"/>
      <c r="I189" s="30"/>
      <c r="J189" s="30"/>
      <c r="K189" s="30"/>
      <c r="L189" s="30"/>
      <c r="M189" s="30"/>
      <c r="N189" s="30"/>
      <c r="O189" s="30"/>
      <c r="P189" s="30"/>
      <c r="Q189" s="30"/>
      <c r="R189" s="30"/>
    </row>
    <row r="190" spans="2:18" x14ac:dyDescent="0.3">
      <c r="B190" s="29"/>
      <c r="C190" s="29"/>
      <c r="D190" s="29"/>
      <c r="E190" s="67"/>
      <c r="F190" s="30"/>
      <c r="G190" s="30"/>
      <c r="H190" s="30"/>
      <c r="I190" s="30"/>
      <c r="J190" s="30"/>
      <c r="K190" s="30"/>
      <c r="L190" s="30"/>
      <c r="M190" s="30"/>
      <c r="N190" s="30"/>
      <c r="O190" s="30"/>
      <c r="P190" s="30"/>
      <c r="Q190" s="30"/>
      <c r="R190" s="30"/>
    </row>
    <row r="191" spans="2:18" x14ac:dyDescent="0.3">
      <c r="B191" s="29"/>
      <c r="C191" s="29"/>
      <c r="D191" s="29"/>
      <c r="E191" s="67"/>
      <c r="F191" s="30"/>
      <c r="G191" s="30"/>
      <c r="H191" s="30"/>
      <c r="I191" s="30"/>
      <c r="J191" s="30"/>
      <c r="K191" s="30"/>
      <c r="L191" s="30"/>
      <c r="M191" s="30"/>
      <c r="N191" s="30"/>
      <c r="O191" s="30"/>
      <c r="P191" s="30"/>
      <c r="Q191" s="30"/>
      <c r="R191" s="30"/>
    </row>
    <row r="192" spans="2:18" x14ac:dyDescent="0.3">
      <c r="B192" s="29"/>
      <c r="C192" s="29"/>
      <c r="D192" s="29"/>
      <c r="E192" s="67"/>
      <c r="F192" s="30"/>
      <c r="G192" s="30"/>
      <c r="H192" s="30"/>
      <c r="I192" s="30"/>
      <c r="J192" s="30"/>
      <c r="K192" s="30"/>
      <c r="L192" s="30"/>
      <c r="M192" s="30"/>
      <c r="N192" s="30"/>
      <c r="O192" s="30"/>
      <c r="P192" s="30"/>
      <c r="Q192" s="30"/>
      <c r="R192" s="30"/>
    </row>
    <row r="193" spans="2:18" x14ac:dyDescent="0.3">
      <c r="B193" s="29"/>
      <c r="C193" s="29"/>
      <c r="D193" s="29"/>
      <c r="E193" s="67"/>
      <c r="F193" s="30"/>
      <c r="G193" s="30"/>
      <c r="H193" s="30"/>
      <c r="I193" s="30"/>
      <c r="J193" s="30"/>
      <c r="K193" s="30"/>
      <c r="L193" s="30"/>
      <c r="M193" s="30"/>
      <c r="N193" s="30"/>
      <c r="O193" s="30"/>
      <c r="P193" s="30"/>
      <c r="Q193" s="30"/>
      <c r="R193" s="30"/>
    </row>
    <row r="194" spans="2:18" x14ac:dyDescent="0.3">
      <c r="B194" s="29"/>
      <c r="C194" s="29"/>
      <c r="D194" s="29"/>
      <c r="E194" s="67"/>
      <c r="F194" s="30"/>
      <c r="G194" s="30"/>
      <c r="H194" s="30"/>
      <c r="I194" s="30"/>
      <c r="J194" s="30"/>
      <c r="K194" s="30"/>
      <c r="L194" s="30"/>
      <c r="M194" s="30"/>
      <c r="N194" s="30"/>
      <c r="O194" s="30"/>
      <c r="P194" s="30"/>
      <c r="Q194" s="30"/>
      <c r="R194" s="30"/>
    </row>
    <row r="195" spans="2:18" x14ac:dyDescent="0.3">
      <c r="B195" s="29"/>
      <c r="C195" s="29"/>
      <c r="D195" s="29"/>
      <c r="E195" s="67"/>
      <c r="F195" s="30"/>
      <c r="G195" s="30"/>
      <c r="H195" s="30"/>
      <c r="I195" s="30"/>
      <c r="J195" s="30"/>
      <c r="K195" s="30"/>
      <c r="L195" s="30"/>
      <c r="M195" s="30"/>
      <c r="N195" s="30"/>
      <c r="O195" s="30"/>
      <c r="P195" s="30"/>
      <c r="Q195" s="30"/>
      <c r="R195" s="30"/>
    </row>
    <row r="196" spans="2:18" x14ac:dyDescent="0.3">
      <c r="B196" s="29"/>
      <c r="C196" s="29"/>
      <c r="D196" s="29"/>
      <c r="E196" s="67"/>
      <c r="F196" s="30"/>
      <c r="G196" s="30"/>
      <c r="H196" s="30"/>
      <c r="I196" s="30"/>
      <c r="J196" s="30"/>
      <c r="K196" s="30"/>
      <c r="L196" s="30"/>
      <c r="M196" s="30"/>
      <c r="N196" s="30"/>
      <c r="O196" s="30"/>
      <c r="P196" s="30"/>
      <c r="Q196" s="30"/>
      <c r="R196" s="30"/>
    </row>
    <row r="197" spans="2:18" x14ac:dyDescent="0.3">
      <c r="B197" s="29"/>
      <c r="C197" s="29"/>
      <c r="D197" s="29"/>
      <c r="E197" s="67"/>
      <c r="F197" s="30"/>
      <c r="G197" s="30"/>
      <c r="H197" s="30"/>
      <c r="I197" s="30"/>
      <c r="J197" s="30"/>
      <c r="K197" s="30"/>
      <c r="L197" s="30"/>
      <c r="M197" s="30"/>
      <c r="N197" s="30"/>
      <c r="O197" s="30"/>
      <c r="P197" s="30"/>
      <c r="Q197" s="30"/>
      <c r="R197" s="30"/>
    </row>
    <row r="198" spans="2:18" x14ac:dyDescent="0.3">
      <c r="B198" s="29"/>
      <c r="C198" s="29"/>
      <c r="D198" s="29"/>
      <c r="E198" s="67"/>
      <c r="F198" s="30"/>
      <c r="G198" s="30"/>
      <c r="H198" s="30"/>
      <c r="I198" s="30"/>
      <c r="J198" s="30"/>
      <c r="K198" s="30"/>
      <c r="L198" s="30"/>
      <c r="M198" s="30"/>
      <c r="N198" s="30"/>
      <c r="O198" s="30"/>
      <c r="P198" s="30"/>
      <c r="Q198" s="30"/>
      <c r="R198" s="30"/>
    </row>
    <row r="199" spans="2:18" x14ac:dyDescent="0.3">
      <c r="B199" s="29"/>
      <c r="C199" s="29"/>
      <c r="D199" s="29"/>
      <c r="E199" s="67"/>
      <c r="F199" s="30"/>
      <c r="G199" s="30"/>
      <c r="H199" s="30"/>
      <c r="I199" s="30"/>
      <c r="J199" s="30"/>
      <c r="K199" s="30"/>
      <c r="L199" s="30"/>
      <c r="M199" s="30"/>
      <c r="N199" s="30"/>
      <c r="O199" s="30"/>
      <c r="P199" s="30"/>
      <c r="Q199" s="30"/>
      <c r="R199" s="30"/>
    </row>
    <row r="200" spans="2:18" x14ac:dyDescent="0.3">
      <c r="B200" s="29"/>
      <c r="C200" s="29"/>
      <c r="D200" s="29"/>
      <c r="E200" s="67"/>
      <c r="F200" s="30"/>
      <c r="G200" s="30"/>
      <c r="H200" s="30"/>
      <c r="I200" s="30"/>
      <c r="J200" s="30"/>
      <c r="K200" s="30"/>
      <c r="L200" s="30"/>
      <c r="M200" s="30"/>
      <c r="N200" s="30"/>
      <c r="O200" s="30"/>
      <c r="P200" s="30"/>
      <c r="Q200" s="30"/>
      <c r="R200" s="30"/>
    </row>
    <row r="201" spans="2:18" x14ac:dyDescent="0.3">
      <c r="B201" s="29"/>
      <c r="C201" s="29"/>
      <c r="D201" s="29"/>
      <c r="E201" s="67"/>
      <c r="F201" s="30"/>
      <c r="G201" s="30"/>
      <c r="H201" s="30"/>
      <c r="I201" s="30"/>
      <c r="J201" s="30"/>
      <c r="K201" s="30"/>
      <c r="L201" s="30"/>
      <c r="M201" s="30"/>
      <c r="N201" s="30"/>
      <c r="O201" s="30"/>
      <c r="P201" s="30"/>
      <c r="Q201" s="30"/>
      <c r="R201" s="30"/>
    </row>
    <row r="202" spans="2:18" x14ac:dyDescent="0.3">
      <c r="B202" s="29"/>
      <c r="C202" s="29"/>
      <c r="D202" s="29"/>
      <c r="E202" s="67"/>
      <c r="F202" s="30"/>
      <c r="G202" s="30"/>
      <c r="H202" s="30"/>
      <c r="I202" s="30"/>
      <c r="J202" s="30"/>
      <c r="K202" s="30"/>
      <c r="L202" s="30"/>
      <c r="M202" s="30"/>
      <c r="N202" s="30"/>
      <c r="O202" s="30"/>
      <c r="P202" s="30"/>
      <c r="Q202" s="30"/>
      <c r="R202" s="30"/>
    </row>
    <row r="203" spans="2:18" x14ac:dyDescent="0.3">
      <c r="B203" s="29"/>
      <c r="C203" s="29"/>
      <c r="D203" s="29"/>
      <c r="E203" s="67"/>
      <c r="F203" s="30"/>
      <c r="G203" s="30"/>
      <c r="H203" s="30"/>
      <c r="I203" s="30"/>
      <c r="J203" s="30"/>
      <c r="K203" s="30"/>
      <c r="L203" s="30"/>
      <c r="M203" s="30"/>
      <c r="N203" s="30"/>
      <c r="O203" s="30"/>
      <c r="P203" s="30"/>
      <c r="Q203" s="30"/>
      <c r="R203" s="30"/>
    </row>
    <row r="204" spans="2:18" x14ac:dyDescent="0.3">
      <c r="B204" s="29"/>
      <c r="C204" s="29"/>
      <c r="D204" s="29"/>
      <c r="E204" s="67"/>
      <c r="F204" s="30"/>
      <c r="G204" s="30"/>
      <c r="H204" s="30"/>
      <c r="I204" s="30"/>
      <c r="J204" s="30"/>
      <c r="K204" s="30"/>
      <c r="L204" s="30"/>
      <c r="M204" s="30"/>
      <c r="N204" s="30"/>
      <c r="O204" s="30"/>
      <c r="P204" s="30"/>
      <c r="Q204" s="30"/>
      <c r="R204" s="30"/>
    </row>
    <row r="205" spans="2:18" x14ac:dyDescent="0.3">
      <c r="B205" s="29"/>
      <c r="C205" s="29"/>
      <c r="D205" s="29"/>
      <c r="E205" s="67"/>
      <c r="F205" s="30"/>
      <c r="G205" s="30"/>
      <c r="H205" s="30"/>
      <c r="I205" s="30"/>
      <c r="J205" s="30"/>
      <c r="K205" s="30"/>
      <c r="L205" s="30"/>
      <c r="M205" s="30"/>
      <c r="N205" s="30"/>
      <c r="O205" s="30"/>
      <c r="P205" s="30"/>
      <c r="Q205" s="30"/>
      <c r="R205" s="30"/>
    </row>
    <row r="206" spans="2:18" x14ac:dyDescent="0.3">
      <c r="B206" s="29"/>
      <c r="C206" s="29"/>
      <c r="D206" s="29"/>
      <c r="E206" s="67"/>
      <c r="F206" s="30"/>
      <c r="G206" s="30"/>
      <c r="H206" s="30"/>
      <c r="I206" s="30"/>
      <c r="J206" s="30"/>
      <c r="K206" s="30"/>
      <c r="L206" s="30"/>
      <c r="M206" s="30"/>
      <c r="N206" s="30"/>
      <c r="O206" s="30"/>
      <c r="P206" s="30"/>
      <c r="Q206" s="30"/>
      <c r="R206" s="30"/>
    </row>
    <row r="207" spans="2:18" x14ac:dyDescent="0.3">
      <c r="B207" s="29"/>
      <c r="C207" s="29"/>
      <c r="D207" s="29"/>
      <c r="E207" s="67"/>
      <c r="F207" s="30"/>
      <c r="G207" s="30"/>
      <c r="H207" s="30"/>
      <c r="I207" s="30"/>
      <c r="J207" s="30"/>
      <c r="K207" s="30"/>
      <c r="L207" s="30"/>
      <c r="M207" s="30"/>
      <c r="N207" s="30"/>
      <c r="O207" s="30"/>
      <c r="P207" s="30"/>
      <c r="Q207" s="30"/>
      <c r="R207" s="30"/>
    </row>
    <row r="208" spans="2:18" x14ac:dyDescent="0.3">
      <c r="B208" s="29"/>
      <c r="C208" s="29"/>
      <c r="D208" s="29"/>
      <c r="E208" s="67"/>
      <c r="F208" s="30"/>
      <c r="G208" s="30"/>
      <c r="H208" s="30"/>
      <c r="I208" s="30"/>
      <c r="J208" s="30"/>
      <c r="K208" s="30"/>
      <c r="L208" s="30"/>
      <c r="M208" s="30"/>
      <c r="N208" s="30"/>
      <c r="O208" s="30"/>
      <c r="P208" s="30"/>
      <c r="Q208" s="30"/>
      <c r="R208" s="30"/>
    </row>
    <row r="209" spans="2:18" x14ac:dyDescent="0.3">
      <c r="B209" s="29"/>
      <c r="C209" s="29"/>
      <c r="D209" s="29"/>
      <c r="E209" s="67"/>
      <c r="F209" s="30"/>
      <c r="G209" s="30"/>
      <c r="H209" s="30"/>
      <c r="I209" s="30"/>
      <c r="J209" s="30"/>
      <c r="K209" s="30"/>
      <c r="L209" s="30"/>
      <c r="M209" s="30"/>
      <c r="N209" s="30"/>
      <c r="O209" s="30"/>
      <c r="P209" s="30"/>
      <c r="Q209" s="30"/>
      <c r="R209" s="30"/>
    </row>
    <row r="210" spans="2:18" x14ac:dyDescent="0.3">
      <c r="B210" s="29"/>
      <c r="C210" s="29"/>
      <c r="D210" s="29"/>
      <c r="E210" s="67"/>
      <c r="F210" s="30"/>
      <c r="G210" s="30"/>
      <c r="H210" s="30"/>
      <c r="I210" s="30"/>
      <c r="J210" s="30"/>
      <c r="K210" s="30"/>
      <c r="L210" s="30"/>
      <c r="M210" s="30"/>
      <c r="N210" s="30"/>
      <c r="O210" s="30"/>
      <c r="P210" s="30"/>
      <c r="Q210" s="30"/>
      <c r="R210" s="30"/>
    </row>
    <row r="211" spans="2:18" x14ac:dyDescent="0.3">
      <c r="B211" s="29"/>
      <c r="C211" s="29"/>
      <c r="D211" s="29"/>
      <c r="E211" s="67"/>
      <c r="F211" s="30"/>
      <c r="G211" s="30"/>
      <c r="H211" s="30"/>
      <c r="I211" s="30"/>
      <c r="J211" s="30"/>
      <c r="K211" s="30"/>
      <c r="L211" s="30"/>
      <c r="M211" s="30"/>
      <c r="N211" s="30"/>
      <c r="O211" s="30"/>
      <c r="P211" s="30"/>
      <c r="Q211" s="30"/>
      <c r="R211" s="30"/>
    </row>
    <row r="212" spans="2:18" x14ac:dyDescent="0.3">
      <c r="B212" s="29"/>
      <c r="C212" s="29"/>
      <c r="D212" s="29"/>
      <c r="E212" s="67"/>
      <c r="F212" s="30"/>
      <c r="G212" s="30"/>
      <c r="H212" s="30"/>
      <c r="I212" s="30"/>
      <c r="J212" s="30"/>
      <c r="K212" s="30"/>
      <c r="L212" s="30"/>
      <c r="M212" s="30"/>
      <c r="N212" s="30"/>
      <c r="O212" s="30"/>
      <c r="P212" s="30"/>
      <c r="Q212" s="30"/>
      <c r="R212" s="30"/>
    </row>
    <row r="213" spans="2:18" x14ac:dyDescent="0.3">
      <c r="B213" s="29"/>
      <c r="C213" s="29"/>
      <c r="D213" s="29"/>
      <c r="E213" s="67"/>
      <c r="F213" s="30"/>
      <c r="G213" s="30"/>
      <c r="H213" s="30"/>
      <c r="I213" s="30"/>
      <c r="J213" s="30"/>
      <c r="K213" s="30"/>
      <c r="L213" s="30"/>
      <c r="M213" s="30"/>
      <c r="N213" s="30"/>
      <c r="O213" s="30"/>
      <c r="P213" s="30"/>
      <c r="Q213" s="30"/>
      <c r="R213" s="30"/>
    </row>
    <row r="214" spans="2:18" x14ac:dyDescent="0.3">
      <c r="B214" s="29"/>
      <c r="C214" s="29"/>
      <c r="D214" s="29"/>
      <c r="E214" s="67"/>
      <c r="F214" s="30"/>
      <c r="G214" s="30"/>
      <c r="H214" s="30"/>
      <c r="I214" s="30"/>
      <c r="J214" s="30"/>
      <c r="K214" s="30"/>
      <c r="L214" s="30"/>
      <c r="M214" s="30"/>
      <c r="N214" s="30"/>
      <c r="O214" s="30"/>
      <c r="P214" s="30"/>
      <c r="Q214" s="30"/>
      <c r="R214" s="30"/>
    </row>
    <row r="215" spans="2:18" x14ac:dyDescent="0.3">
      <c r="B215" s="29"/>
      <c r="C215" s="29"/>
      <c r="D215" s="29"/>
      <c r="E215" s="67"/>
      <c r="F215" s="30"/>
      <c r="G215" s="30"/>
      <c r="H215" s="30"/>
      <c r="I215" s="30"/>
      <c r="J215" s="30"/>
      <c r="K215" s="30"/>
      <c r="L215" s="30"/>
      <c r="M215" s="30"/>
      <c r="N215" s="30"/>
      <c r="O215" s="30"/>
      <c r="P215" s="30"/>
      <c r="Q215" s="30"/>
      <c r="R215" s="30"/>
    </row>
    <row r="216" spans="2:18" x14ac:dyDescent="0.3">
      <c r="B216" s="29"/>
      <c r="C216" s="29"/>
      <c r="D216" s="29"/>
      <c r="E216" s="67"/>
      <c r="F216" s="30"/>
      <c r="G216" s="30"/>
      <c r="H216" s="30"/>
      <c r="I216" s="30"/>
      <c r="J216" s="30"/>
      <c r="K216" s="30"/>
      <c r="L216" s="30"/>
      <c r="M216" s="30"/>
      <c r="N216" s="30"/>
      <c r="O216" s="30"/>
      <c r="P216" s="30"/>
      <c r="Q216" s="30"/>
      <c r="R216" s="30"/>
    </row>
    <row r="217" spans="2:18" x14ac:dyDescent="0.3">
      <c r="B217" s="29"/>
      <c r="C217" s="29"/>
      <c r="D217" s="29"/>
      <c r="E217" s="67"/>
      <c r="F217" s="30"/>
      <c r="G217" s="30"/>
      <c r="H217" s="30"/>
      <c r="I217" s="30"/>
      <c r="J217" s="30"/>
      <c r="K217" s="30"/>
      <c r="L217" s="30"/>
      <c r="M217" s="30"/>
      <c r="N217" s="30"/>
      <c r="O217" s="30"/>
      <c r="P217" s="30"/>
      <c r="Q217" s="30"/>
      <c r="R217" s="30"/>
    </row>
    <row r="218" spans="2:18" x14ac:dyDescent="0.3">
      <c r="B218" s="29"/>
      <c r="C218" s="29"/>
      <c r="D218" s="29"/>
      <c r="E218" s="67"/>
      <c r="F218" s="30"/>
      <c r="G218" s="30"/>
      <c r="H218" s="30"/>
      <c r="I218" s="30"/>
      <c r="J218" s="30"/>
      <c r="K218" s="30"/>
      <c r="L218" s="30"/>
      <c r="M218" s="30"/>
      <c r="N218" s="30"/>
      <c r="O218" s="30"/>
      <c r="P218" s="30"/>
      <c r="Q218" s="30"/>
      <c r="R218" s="30"/>
    </row>
    <row r="219" spans="2:18" x14ac:dyDescent="0.3">
      <c r="B219" s="29"/>
      <c r="C219" s="29"/>
      <c r="D219" s="29"/>
      <c r="E219" s="67"/>
      <c r="F219" s="30"/>
      <c r="G219" s="30"/>
      <c r="H219" s="30"/>
      <c r="I219" s="30"/>
      <c r="J219" s="30"/>
      <c r="K219" s="30"/>
      <c r="L219" s="30"/>
      <c r="M219" s="30"/>
      <c r="N219" s="30"/>
      <c r="O219" s="30"/>
      <c r="P219" s="30"/>
      <c r="Q219" s="30"/>
      <c r="R219" s="30"/>
    </row>
    <row r="220" spans="2:18" x14ac:dyDescent="0.3">
      <c r="B220" s="29"/>
      <c r="C220" s="29"/>
      <c r="D220" s="29"/>
      <c r="E220" s="67"/>
      <c r="F220" s="30"/>
      <c r="G220" s="30"/>
      <c r="H220" s="30"/>
      <c r="I220" s="30"/>
      <c r="J220" s="30"/>
      <c r="K220" s="30"/>
      <c r="L220" s="30"/>
      <c r="M220" s="30"/>
      <c r="N220" s="30"/>
      <c r="O220" s="30"/>
      <c r="P220" s="30"/>
      <c r="Q220" s="30"/>
      <c r="R220" s="30"/>
    </row>
    <row r="221" spans="2:18" x14ac:dyDescent="0.3">
      <c r="B221" s="29"/>
      <c r="C221" s="29"/>
      <c r="D221" s="29"/>
      <c r="E221" s="67"/>
      <c r="F221" s="30"/>
      <c r="G221" s="30"/>
      <c r="H221" s="30"/>
      <c r="I221" s="30"/>
      <c r="J221" s="30"/>
      <c r="K221" s="30"/>
      <c r="L221" s="30"/>
      <c r="M221" s="30"/>
      <c r="N221" s="30"/>
      <c r="O221" s="30"/>
      <c r="P221" s="30"/>
      <c r="Q221" s="30"/>
      <c r="R221" s="30"/>
    </row>
    <row r="222" spans="2:18" x14ac:dyDescent="0.3">
      <c r="B222" s="29"/>
      <c r="C222" s="29"/>
      <c r="D222" s="29"/>
      <c r="E222" s="67"/>
      <c r="F222" s="30"/>
      <c r="G222" s="30"/>
      <c r="H222" s="30"/>
      <c r="I222" s="30"/>
      <c r="J222" s="30"/>
      <c r="K222" s="30"/>
      <c r="L222" s="30"/>
      <c r="M222" s="30"/>
      <c r="N222" s="30"/>
      <c r="O222" s="30"/>
      <c r="P222" s="30"/>
      <c r="Q222" s="30"/>
      <c r="R222" s="30"/>
    </row>
    <row r="223" spans="2:18" x14ac:dyDescent="0.3">
      <c r="B223" s="29"/>
      <c r="C223" s="29"/>
      <c r="D223" s="29"/>
      <c r="E223" s="67"/>
      <c r="F223" s="30"/>
      <c r="G223" s="30"/>
      <c r="H223" s="30"/>
      <c r="I223" s="30"/>
      <c r="J223" s="30"/>
      <c r="K223" s="30"/>
      <c r="L223" s="30"/>
      <c r="M223" s="30"/>
      <c r="N223" s="30"/>
      <c r="O223" s="30"/>
      <c r="P223" s="30"/>
      <c r="Q223" s="30"/>
      <c r="R223" s="30"/>
    </row>
    <row r="224" spans="2:18" x14ac:dyDescent="0.3">
      <c r="B224" s="29"/>
      <c r="C224" s="29"/>
      <c r="D224" s="29"/>
      <c r="E224" s="67"/>
      <c r="F224" s="30"/>
      <c r="G224" s="30"/>
      <c r="H224" s="30"/>
      <c r="I224" s="30"/>
      <c r="J224" s="30"/>
      <c r="K224" s="30"/>
      <c r="L224" s="30"/>
      <c r="M224" s="30"/>
      <c r="N224" s="30"/>
      <c r="O224" s="30"/>
      <c r="P224" s="30"/>
      <c r="Q224" s="30"/>
      <c r="R224" s="30"/>
    </row>
    <row r="225" spans="2:18" x14ac:dyDescent="0.3">
      <c r="B225" s="29"/>
      <c r="C225" s="29"/>
      <c r="D225" s="29"/>
      <c r="E225" s="67"/>
      <c r="F225" s="30"/>
      <c r="G225" s="30"/>
      <c r="H225" s="30"/>
      <c r="I225" s="30"/>
      <c r="J225" s="30"/>
      <c r="K225" s="30"/>
      <c r="L225" s="30"/>
      <c r="M225" s="30"/>
      <c r="N225" s="30"/>
      <c r="O225" s="30"/>
      <c r="P225" s="30"/>
      <c r="Q225" s="30"/>
      <c r="R225" s="30"/>
    </row>
    <row r="226" spans="2:18" x14ac:dyDescent="0.3">
      <c r="B226" s="29"/>
      <c r="C226" s="29"/>
      <c r="D226" s="29"/>
      <c r="E226" s="67"/>
      <c r="F226" s="30"/>
      <c r="G226" s="30"/>
      <c r="H226" s="30"/>
      <c r="I226" s="30"/>
      <c r="J226" s="30"/>
      <c r="K226" s="30"/>
      <c r="L226" s="30"/>
      <c r="M226" s="30"/>
      <c r="N226" s="30"/>
      <c r="O226" s="30"/>
      <c r="P226" s="30"/>
      <c r="Q226" s="30"/>
      <c r="R226" s="30"/>
    </row>
    <row r="227" spans="2:18" x14ac:dyDescent="0.3">
      <c r="B227" s="29"/>
      <c r="C227" s="29"/>
      <c r="D227" s="29"/>
      <c r="E227" s="67"/>
      <c r="F227" s="30"/>
      <c r="G227" s="30"/>
      <c r="H227" s="30"/>
      <c r="I227" s="30"/>
      <c r="J227" s="30"/>
      <c r="K227" s="30"/>
      <c r="L227" s="30"/>
      <c r="M227" s="30"/>
      <c r="N227" s="30"/>
      <c r="O227" s="30"/>
      <c r="P227" s="30"/>
      <c r="Q227" s="30"/>
      <c r="R227" s="30"/>
    </row>
    <row r="228" spans="2:18" x14ac:dyDescent="0.3">
      <c r="B228" s="29"/>
      <c r="C228" s="29"/>
      <c r="D228" s="29"/>
      <c r="E228" s="67"/>
      <c r="F228" s="30"/>
      <c r="G228" s="30"/>
      <c r="H228" s="30"/>
      <c r="I228" s="30"/>
      <c r="J228" s="30"/>
      <c r="K228" s="30"/>
      <c r="L228" s="30"/>
      <c r="M228" s="30"/>
      <c r="N228" s="30"/>
      <c r="O228" s="30"/>
      <c r="P228" s="30"/>
      <c r="Q228" s="30"/>
      <c r="R228" s="30"/>
    </row>
    <row r="229" spans="2:18" x14ac:dyDescent="0.3">
      <c r="B229" s="29"/>
      <c r="C229" s="29"/>
      <c r="D229" s="29"/>
      <c r="E229" s="67"/>
      <c r="F229" s="30"/>
      <c r="G229" s="30"/>
      <c r="H229" s="30"/>
      <c r="I229" s="30"/>
      <c r="J229" s="30"/>
      <c r="K229" s="30"/>
      <c r="L229" s="30"/>
      <c r="M229" s="30"/>
      <c r="N229" s="30"/>
      <c r="O229" s="30"/>
      <c r="P229" s="30"/>
      <c r="Q229" s="30"/>
      <c r="R229" s="30"/>
    </row>
    <row r="230" spans="2:18" x14ac:dyDescent="0.3">
      <c r="B230" s="29"/>
      <c r="C230" s="29"/>
      <c r="D230" s="29"/>
      <c r="E230" s="67"/>
      <c r="F230" s="30"/>
      <c r="G230" s="30"/>
      <c r="H230" s="30"/>
      <c r="I230" s="30"/>
      <c r="J230" s="30"/>
      <c r="K230" s="30"/>
      <c r="L230" s="30"/>
      <c r="M230" s="30"/>
      <c r="N230" s="30"/>
      <c r="O230" s="30"/>
      <c r="P230" s="30"/>
      <c r="Q230" s="30"/>
      <c r="R230" s="30"/>
    </row>
    <row r="231" spans="2:18" x14ac:dyDescent="0.3">
      <c r="B231" s="29"/>
      <c r="C231" s="29"/>
      <c r="D231" s="29"/>
      <c r="E231" s="67"/>
      <c r="F231" s="30"/>
      <c r="G231" s="30"/>
      <c r="H231" s="30"/>
      <c r="I231" s="30"/>
      <c r="J231" s="30"/>
      <c r="K231" s="30"/>
      <c r="L231" s="30"/>
      <c r="M231" s="30"/>
      <c r="N231" s="30"/>
      <c r="O231" s="30"/>
      <c r="P231" s="30"/>
      <c r="Q231" s="30"/>
      <c r="R231" s="30"/>
    </row>
    <row r="232" spans="2:18" x14ac:dyDescent="0.3">
      <c r="B232" s="29"/>
      <c r="C232" s="29"/>
      <c r="D232" s="29"/>
      <c r="E232" s="67"/>
      <c r="F232" s="30"/>
      <c r="G232" s="30"/>
      <c r="H232" s="30"/>
      <c r="I232" s="30"/>
      <c r="J232" s="30"/>
      <c r="K232" s="30"/>
      <c r="L232" s="30"/>
      <c r="M232" s="30"/>
      <c r="N232" s="30"/>
      <c r="O232" s="30"/>
      <c r="P232" s="30"/>
      <c r="Q232" s="30"/>
      <c r="R232" s="30"/>
    </row>
    <row r="233" spans="2:18" x14ac:dyDescent="0.3">
      <c r="B233" s="29"/>
      <c r="C233" s="29"/>
      <c r="D233" s="29"/>
      <c r="E233" s="67"/>
      <c r="F233" s="30"/>
      <c r="G233" s="30"/>
      <c r="H233" s="30"/>
      <c r="I233" s="30"/>
      <c r="J233" s="30"/>
      <c r="K233" s="30"/>
      <c r="L233" s="30"/>
      <c r="M233" s="30"/>
      <c r="N233" s="30"/>
      <c r="O233" s="30"/>
      <c r="P233" s="30"/>
      <c r="Q233" s="30"/>
      <c r="R233" s="30"/>
    </row>
    <row r="234" spans="2:18" x14ac:dyDescent="0.3">
      <c r="B234" s="29"/>
      <c r="C234" s="29"/>
      <c r="D234" s="29"/>
      <c r="E234" s="67"/>
      <c r="F234" s="30"/>
      <c r="G234" s="30"/>
      <c r="H234" s="30"/>
      <c r="I234" s="30"/>
      <c r="J234" s="30"/>
      <c r="K234" s="30"/>
      <c r="L234" s="30"/>
      <c r="M234" s="30"/>
      <c r="N234" s="30"/>
      <c r="O234" s="30"/>
      <c r="P234" s="30"/>
      <c r="Q234" s="30"/>
      <c r="R234" s="30"/>
    </row>
    <row r="235" spans="2:18" x14ac:dyDescent="0.3">
      <c r="B235" s="29"/>
      <c r="C235" s="29"/>
      <c r="D235" s="29"/>
      <c r="E235" s="67"/>
      <c r="F235" s="30"/>
      <c r="G235" s="30"/>
      <c r="H235" s="30"/>
      <c r="I235" s="30"/>
      <c r="J235" s="30"/>
      <c r="K235" s="30"/>
      <c r="L235" s="30"/>
      <c r="M235" s="30"/>
      <c r="N235" s="30"/>
      <c r="O235" s="30"/>
      <c r="P235" s="30"/>
      <c r="Q235" s="30"/>
      <c r="R235" s="30"/>
    </row>
    <row r="236" spans="2:18" x14ac:dyDescent="0.3">
      <c r="B236" s="29"/>
      <c r="C236" s="29"/>
      <c r="D236" s="29"/>
      <c r="E236" s="67"/>
      <c r="F236" s="30"/>
      <c r="G236" s="30"/>
      <c r="H236" s="30"/>
      <c r="I236" s="30"/>
      <c r="J236" s="30"/>
      <c r="K236" s="30"/>
      <c r="L236" s="30"/>
      <c r="M236" s="30"/>
      <c r="N236" s="30"/>
      <c r="O236" s="30"/>
      <c r="P236" s="30"/>
      <c r="Q236" s="30"/>
      <c r="R236" s="30"/>
    </row>
    <row r="237" spans="2:18" x14ac:dyDescent="0.3">
      <c r="B237" s="29"/>
      <c r="C237" s="29"/>
      <c r="D237" s="29"/>
      <c r="E237" s="67"/>
      <c r="F237" s="30"/>
      <c r="G237" s="30"/>
      <c r="H237" s="30"/>
      <c r="I237" s="30"/>
      <c r="J237" s="30"/>
      <c r="K237" s="30"/>
      <c r="L237" s="30"/>
      <c r="M237" s="30"/>
      <c r="N237" s="30"/>
      <c r="O237" s="30"/>
      <c r="P237" s="30"/>
      <c r="Q237" s="30"/>
      <c r="R237" s="30"/>
    </row>
    <row r="238" spans="2:18" x14ac:dyDescent="0.3">
      <c r="B238" s="29"/>
      <c r="C238" s="29"/>
      <c r="D238" s="29"/>
      <c r="E238" s="67"/>
      <c r="F238" s="30"/>
      <c r="G238" s="30"/>
      <c r="H238" s="30"/>
      <c r="I238" s="30"/>
      <c r="J238" s="30"/>
      <c r="K238" s="30"/>
      <c r="L238" s="30"/>
      <c r="M238" s="30"/>
      <c r="N238" s="30"/>
      <c r="O238" s="30"/>
      <c r="P238" s="30"/>
      <c r="Q238" s="30"/>
      <c r="R238" s="30"/>
    </row>
    <row r="239" spans="2:18" x14ac:dyDescent="0.3">
      <c r="B239" s="29"/>
      <c r="C239" s="29"/>
      <c r="D239" s="29"/>
      <c r="E239" s="67"/>
      <c r="F239" s="30"/>
      <c r="G239" s="30"/>
      <c r="H239" s="30"/>
      <c r="I239" s="30"/>
      <c r="J239" s="30"/>
      <c r="K239" s="30"/>
      <c r="L239" s="30"/>
      <c r="M239" s="30"/>
      <c r="N239" s="30"/>
      <c r="O239" s="30"/>
      <c r="P239" s="30"/>
      <c r="Q239" s="30"/>
      <c r="R239" s="30"/>
    </row>
    <row r="240" spans="2:18" x14ac:dyDescent="0.3">
      <c r="B240" s="29"/>
      <c r="C240" s="29"/>
      <c r="D240" s="29"/>
      <c r="E240" s="67"/>
      <c r="F240" s="30"/>
      <c r="G240" s="30"/>
      <c r="H240" s="30"/>
      <c r="I240" s="30"/>
      <c r="J240" s="30"/>
      <c r="K240" s="30"/>
      <c r="L240" s="30"/>
      <c r="M240" s="30"/>
      <c r="N240" s="30"/>
      <c r="O240" s="30"/>
      <c r="P240" s="30"/>
      <c r="Q240" s="30"/>
      <c r="R240" s="30"/>
    </row>
    <row r="241" spans="2:18" x14ac:dyDescent="0.3">
      <c r="B241" s="29"/>
      <c r="C241" s="29"/>
      <c r="D241" s="29"/>
      <c r="E241" s="67"/>
      <c r="F241" s="30"/>
      <c r="G241" s="30"/>
      <c r="H241" s="30"/>
      <c r="I241" s="30"/>
      <c r="J241" s="30"/>
      <c r="K241" s="30"/>
      <c r="L241" s="30"/>
      <c r="M241" s="30"/>
      <c r="N241" s="30"/>
      <c r="O241" s="30"/>
      <c r="P241" s="30"/>
      <c r="Q241" s="30"/>
      <c r="R241" s="30"/>
    </row>
    <row r="242" spans="2:18" x14ac:dyDescent="0.3">
      <c r="B242" s="29"/>
      <c r="C242" s="29"/>
      <c r="D242" s="29"/>
      <c r="E242" s="67"/>
      <c r="F242" s="30"/>
      <c r="G242" s="30"/>
      <c r="H242" s="30"/>
      <c r="I242" s="30"/>
      <c r="J242" s="30"/>
      <c r="K242" s="30"/>
      <c r="L242" s="30"/>
      <c r="M242" s="30"/>
      <c r="N242" s="30"/>
      <c r="O242" s="30"/>
      <c r="P242" s="30"/>
      <c r="Q242" s="30"/>
      <c r="R242" s="30"/>
    </row>
    <row r="243" spans="2:18" x14ac:dyDescent="0.3">
      <c r="B243" s="29"/>
      <c r="C243" s="29"/>
      <c r="D243" s="29"/>
      <c r="E243" s="67"/>
      <c r="F243" s="30"/>
      <c r="G243" s="30"/>
      <c r="H243" s="30"/>
      <c r="I243" s="30"/>
      <c r="J243" s="30"/>
      <c r="K243" s="30"/>
      <c r="L243" s="30"/>
      <c r="M243" s="30"/>
      <c r="N243" s="30"/>
      <c r="O243" s="30"/>
      <c r="P243" s="30"/>
      <c r="Q243" s="30"/>
      <c r="R243" s="30"/>
    </row>
    <row r="244" spans="2:18" x14ac:dyDescent="0.3">
      <c r="B244" s="29"/>
      <c r="C244" s="29"/>
      <c r="D244" s="29"/>
      <c r="E244" s="67"/>
      <c r="F244" s="30"/>
      <c r="G244" s="30"/>
      <c r="H244" s="30"/>
      <c r="I244" s="30"/>
      <c r="J244" s="30"/>
      <c r="K244" s="30"/>
      <c r="L244" s="30"/>
      <c r="M244" s="30"/>
      <c r="N244" s="30"/>
      <c r="O244" s="30"/>
      <c r="P244" s="30"/>
      <c r="Q244" s="30"/>
      <c r="R244" s="30"/>
    </row>
    <row r="245" spans="2:18" x14ac:dyDescent="0.3">
      <c r="B245" s="29"/>
      <c r="C245" s="29"/>
      <c r="D245" s="29"/>
      <c r="E245" s="67"/>
      <c r="F245" s="30"/>
      <c r="G245" s="30"/>
      <c r="H245" s="30"/>
      <c r="I245" s="30"/>
      <c r="J245" s="30"/>
      <c r="K245" s="30"/>
      <c r="L245" s="30"/>
      <c r="M245" s="30"/>
      <c r="N245" s="30"/>
      <c r="O245" s="30"/>
      <c r="P245" s="30"/>
      <c r="Q245" s="30"/>
      <c r="R245" s="30"/>
    </row>
    <row r="246" spans="2:18" x14ac:dyDescent="0.3">
      <c r="B246" s="29"/>
      <c r="C246" s="29"/>
      <c r="D246" s="29"/>
      <c r="E246" s="67"/>
      <c r="F246" s="30"/>
      <c r="G246" s="30"/>
      <c r="H246" s="30"/>
      <c r="I246" s="30"/>
      <c r="J246" s="30"/>
      <c r="K246" s="30"/>
      <c r="L246" s="30"/>
      <c r="M246" s="30"/>
      <c r="N246" s="30"/>
      <c r="O246" s="30"/>
      <c r="P246" s="30"/>
      <c r="Q246" s="30"/>
      <c r="R246"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scale="78"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4">
    <tabColor indexed="52"/>
    <outlinePr applyStyles="1" summaryBelow="0"/>
    <pageSetUpPr fitToPage="1"/>
  </sheetPr>
  <dimension ref="A2:S243"/>
  <sheetViews>
    <sheetView topLeftCell="A10" workbookViewId="0">
      <selection activeCell="E22" sqref="E22:G22"/>
    </sheetView>
  </sheetViews>
  <sheetFormatPr defaultColWidth="9.109375" defaultRowHeight="13.8" outlineLevelRow="2" x14ac:dyDescent="0.3"/>
  <cols>
    <col min="1" max="1" width="66" style="26" bestFit="1" customWidth="1"/>
    <col min="2" max="2" width="19" style="27" customWidth="1"/>
    <col min="3" max="3" width="19.44140625" style="27" customWidth="1"/>
    <col min="4" max="4" width="9.88671875" style="76" customWidth="1"/>
    <col min="5" max="5" width="18.44140625" style="27" customWidth="1"/>
    <col min="6" max="6" width="17.6640625" style="27" customWidth="1"/>
    <col min="7" max="7" width="9.109375" style="76" customWidth="1"/>
    <col min="8" max="8" width="16" style="27" bestFit="1" customWidth="1"/>
    <col min="9" max="9" width="9.109375" style="26" customWidth="1"/>
    <col min="10" max="16384" width="9.109375" style="26"/>
  </cols>
  <sheetData>
    <row r="2" spans="1:19" ht="18" x14ac:dyDescent="0.35">
      <c r="A2" s="5" t="str">
        <f>DEBT_CURR_STRUCT</f>
        <v>Валютна структура боргу на кінець попереднього року та на звітну дату</v>
      </c>
      <c r="B2" s="3"/>
      <c r="C2" s="3"/>
      <c r="D2" s="3"/>
      <c r="E2" s="3"/>
      <c r="F2" s="3"/>
      <c r="G2" s="3"/>
      <c r="H2" s="3"/>
      <c r="I2" s="30"/>
      <c r="J2" s="30"/>
      <c r="K2" s="30"/>
      <c r="L2" s="30"/>
      <c r="M2" s="30"/>
      <c r="N2" s="30"/>
      <c r="O2" s="30"/>
      <c r="P2" s="30"/>
      <c r="Q2" s="30"/>
      <c r="R2" s="30"/>
      <c r="S2" s="30"/>
    </row>
    <row r="3" spans="1:19" x14ac:dyDescent="0.3">
      <c r="A3" s="28"/>
    </row>
    <row r="4" spans="1:19" x14ac:dyDescent="0.3">
      <c r="B4" s="29"/>
      <c r="C4" s="29"/>
      <c r="D4" s="67"/>
      <c r="E4" s="29"/>
      <c r="F4" s="29"/>
      <c r="G4" s="67"/>
      <c r="H4" s="29"/>
      <c r="I4" s="30"/>
      <c r="J4" s="30"/>
      <c r="K4" s="30"/>
      <c r="L4" s="30"/>
      <c r="M4" s="30"/>
      <c r="N4" s="30"/>
      <c r="O4" s="30"/>
      <c r="P4" s="30"/>
      <c r="Q4" s="30"/>
    </row>
    <row r="5" spans="1:19" s="31" customFormat="1" x14ac:dyDescent="0.3">
      <c r="B5" s="32"/>
      <c r="C5" s="32"/>
      <c r="D5" s="71"/>
      <c r="E5" s="32"/>
      <c r="F5" s="32"/>
      <c r="G5" s="71"/>
      <c r="H5" s="31" t="str">
        <f>VALVAL</f>
        <v>млрд. одиниць</v>
      </c>
    </row>
    <row r="6" spans="1:19" s="57" customFormat="1" x14ac:dyDescent="0.25">
      <c r="A6" s="82"/>
      <c r="B6" s="288">
        <v>46022</v>
      </c>
      <c r="C6" s="289"/>
      <c r="D6" s="290"/>
      <c r="E6" s="288">
        <v>46265</v>
      </c>
      <c r="F6" s="289"/>
      <c r="G6" s="290"/>
      <c r="H6" s="83"/>
    </row>
    <row r="7" spans="1:19" s="84" customFormat="1" x14ac:dyDescent="0.25">
      <c r="A7" s="16"/>
      <c r="B7" s="72" t="str">
        <f>USD</f>
        <v>дол. США</v>
      </c>
      <c r="C7" s="72" t="str">
        <f>UAH</f>
        <v>грн.</v>
      </c>
      <c r="D7" s="73" t="s">
        <v>0</v>
      </c>
      <c r="E7" s="72" t="str">
        <f>USD</f>
        <v>дол. США</v>
      </c>
      <c r="F7" s="72" t="str">
        <f>UAH</f>
        <v>грн.</v>
      </c>
      <c r="G7" s="73" t="s">
        <v>0</v>
      </c>
      <c r="H7" s="72" t="str">
        <f>CHANGE_OF_STRUCTURE</f>
        <v>Зміна структури</v>
      </c>
    </row>
    <row r="8" spans="1:19" s="19" customFormat="1" ht="15.6" x14ac:dyDescent="0.25">
      <c r="A8" s="157" t="str">
        <f>DEBT_TOTAL</f>
        <v>Загальна сума державного та гарантованого державою боргу</v>
      </c>
      <c r="B8" s="88">
        <f>SUM(B9:B18)</f>
        <v>213.33206790508999</v>
      </c>
      <c r="C8" s="88">
        <f t="shared" ref="C8:H8" si="0">SUM(C9:C18)</f>
        <v>9042.6770279453885</v>
      </c>
      <c r="D8" s="89">
        <f t="shared" si="0"/>
        <v>0.99999999999999989</v>
      </c>
      <c r="E8" s="88">
        <f t="shared" si="0"/>
        <v>215.55073598985001</v>
      </c>
      <c r="F8" s="88">
        <f t="shared" si="0"/>
        <v>9602.8930637009707</v>
      </c>
      <c r="G8" s="89">
        <f t="shared" si="0"/>
        <v>1.0000009999999999</v>
      </c>
      <c r="H8" s="92">
        <f t="shared" si="0"/>
        <v>-4.6078592330633938E-19</v>
      </c>
    </row>
    <row r="9" spans="1:19" s="42" customFormat="1" outlineLevel="1" x14ac:dyDescent="0.25">
      <c r="A9" s="174" t="s">
        <v>151</v>
      </c>
      <c r="B9" s="180">
        <v>0.84530448688000004</v>
      </c>
      <c r="C9" s="180">
        <v>35.830597529009999</v>
      </c>
      <c r="D9" s="244">
        <v>3.9620000000000002E-3</v>
      </c>
      <c r="E9" s="180">
        <v>1.05020610488</v>
      </c>
      <c r="F9" s="180">
        <v>46.787207075650002</v>
      </c>
      <c r="G9" s="244">
        <v>4.8719999999999996E-3</v>
      </c>
      <c r="H9" s="180">
        <v>9.1E-4</v>
      </c>
    </row>
    <row r="10" spans="1:19" outlineLevel="1" x14ac:dyDescent="0.3">
      <c r="A10" s="245" t="s">
        <v>152</v>
      </c>
      <c r="B10" s="190">
        <v>48.310865544979997</v>
      </c>
      <c r="C10" s="190">
        <v>2047.79130654752</v>
      </c>
      <c r="D10" s="212">
        <v>0.22645899999999999</v>
      </c>
      <c r="E10" s="190">
        <v>49.451781718100001</v>
      </c>
      <c r="F10" s="190">
        <v>2203.1016014322399</v>
      </c>
      <c r="G10" s="212">
        <v>0.22942100000000001</v>
      </c>
      <c r="H10" s="190">
        <v>2.9619999999999998E-3</v>
      </c>
      <c r="I10" s="30"/>
      <c r="J10" s="30"/>
      <c r="K10" s="30"/>
      <c r="L10" s="30"/>
      <c r="M10" s="30"/>
      <c r="N10" s="30"/>
      <c r="O10" s="30"/>
      <c r="P10" s="30"/>
      <c r="Q10" s="30"/>
    </row>
    <row r="11" spans="1:19" outlineLevel="1" x14ac:dyDescent="0.3">
      <c r="A11" s="245" t="s">
        <v>153</v>
      </c>
      <c r="B11" s="190">
        <v>95.489766304849994</v>
      </c>
      <c r="C11" s="190">
        <v>4047.6011161741199</v>
      </c>
      <c r="D11" s="212">
        <v>0.44761099999999998</v>
      </c>
      <c r="E11" s="190">
        <v>96.940629834459997</v>
      </c>
      <c r="F11" s="190">
        <v>4318.7535294374502</v>
      </c>
      <c r="G11" s="212">
        <v>0.449735</v>
      </c>
      <c r="H11" s="190">
        <v>2.124E-3</v>
      </c>
      <c r="I11" s="30"/>
      <c r="J11" s="30"/>
      <c r="K11" s="30"/>
      <c r="L11" s="30"/>
      <c r="M11" s="30"/>
      <c r="N11" s="30"/>
      <c r="O11" s="30"/>
      <c r="P11" s="30"/>
      <c r="Q11" s="30"/>
    </row>
    <row r="12" spans="1:19" outlineLevel="1" x14ac:dyDescent="0.3">
      <c r="A12" s="245" t="s">
        <v>154</v>
      </c>
      <c r="B12" s="190">
        <v>4.9252078428199999</v>
      </c>
      <c r="C12" s="190">
        <v>208.76872499999999</v>
      </c>
      <c r="D12" s="212">
        <v>2.3087E-2</v>
      </c>
      <c r="E12" s="190">
        <v>4.8736119684399997</v>
      </c>
      <c r="F12" s="190">
        <v>217.12184999999999</v>
      </c>
      <c r="G12" s="212">
        <v>2.2610000000000002E-2</v>
      </c>
      <c r="H12" s="190">
        <v>-4.7699999999999999E-4</v>
      </c>
      <c r="I12" s="30"/>
      <c r="J12" s="30"/>
      <c r="K12" s="30"/>
      <c r="L12" s="30"/>
      <c r="M12" s="30"/>
      <c r="N12" s="30"/>
      <c r="O12" s="30"/>
      <c r="P12" s="30"/>
      <c r="Q12" s="30"/>
    </row>
    <row r="13" spans="1:19" outlineLevel="1" x14ac:dyDescent="0.3">
      <c r="A13" s="245" t="s">
        <v>155</v>
      </c>
      <c r="B13" s="190">
        <v>18.40916470666</v>
      </c>
      <c r="C13" s="190">
        <v>780.32399175445005</v>
      </c>
      <c r="D13" s="212">
        <v>8.6292999999999995E-2</v>
      </c>
      <c r="E13" s="190">
        <v>19.32127082253</v>
      </c>
      <c r="F13" s="190">
        <v>860.77227577894996</v>
      </c>
      <c r="G13" s="212">
        <v>8.9636999999999994E-2</v>
      </c>
      <c r="H13" s="190">
        <v>3.3430000000000001E-3</v>
      </c>
      <c r="I13" s="30"/>
      <c r="J13" s="30"/>
      <c r="K13" s="30"/>
      <c r="L13" s="30"/>
      <c r="M13" s="30"/>
      <c r="N13" s="30"/>
      <c r="O13" s="30"/>
      <c r="P13" s="30"/>
      <c r="Q13" s="30"/>
    </row>
    <row r="14" spans="1:19" outlineLevel="1" x14ac:dyDescent="0.3">
      <c r="A14" s="245" t="s">
        <v>156</v>
      </c>
      <c r="B14" s="190">
        <v>44.49656628044</v>
      </c>
      <c r="C14" s="190">
        <v>1886.1115521808499</v>
      </c>
      <c r="D14" s="212">
        <v>0.20857899999999999</v>
      </c>
      <c r="E14" s="190">
        <v>43.06814144266</v>
      </c>
      <c r="F14" s="190">
        <v>1918.70723532899</v>
      </c>
      <c r="G14" s="212">
        <v>0.19980500000000001</v>
      </c>
      <c r="H14" s="190">
        <v>-8.7740000000000005E-3</v>
      </c>
      <c r="I14" s="30"/>
      <c r="J14" s="30"/>
      <c r="K14" s="30"/>
      <c r="L14" s="30"/>
      <c r="M14" s="30"/>
      <c r="N14" s="30"/>
      <c r="O14" s="30"/>
      <c r="P14" s="30"/>
      <c r="Q14" s="30"/>
    </row>
    <row r="15" spans="1:19" outlineLevel="1" x14ac:dyDescent="0.3">
      <c r="A15" s="245" t="s">
        <v>157</v>
      </c>
      <c r="B15" s="190">
        <v>0.85519273845999999</v>
      </c>
      <c r="C15" s="190">
        <v>36.24973875944</v>
      </c>
      <c r="D15" s="212">
        <v>4.0090000000000004E-3</v>
      </c>
      <c r="E15" s="190">
        <v>0.84509409877999997</v>
      </c>
      <c r="F15" s="190">
        <v>37.64936464769</v>
      </c>
      <c r="G15" s="212">
        <v>3.921E-3</v>
      </c>
      <c r="H15" s="190">
        <v>-8.7999999999999998E-5</v>
      </c>
      <c r="I15" s="30"/>
      <c r="J15" s="30"/>
      <c r="K15" s="30"/>
      <c r="L15" s="30"/>
      <c r="M15" s="30"/>
      <c r="N15" s="30"/>
      <c r="O15" s="30"/>
      <c r="P15" s="30"/>
      <c r="Q15" s="30"/>
    </row>
    <row r="16" spans="1:19" x14ac:dyDescent="0.3">
      <c r="B16" s="29"/>
      <c r="C16" s="29"/>
      <c r="D16" s="67"/>
      <c r="E16" s="29"/>
      <c r="F16" s="29"/>
      <c r="G16" s="67"/>
      <c r="H16" s="29"/>
      <c r="I16" s="30"/>
      <c r="J16" s="30"/>
      <c r="K16" s="30"/>
      <c r="L16" s="30"/>
      <c r="M16" s="30"/>
      <c r="N16" s="30"/>
      <c r="O16" s="30"/>
      <c r="P16" s="30"/>
      <c r="Q16" s="30"/>
    </row>
    <row r="17" spans="1:19" x14ac:dyDescent="0.3">
      <c r="B17" s="29"/>
      <c r="C17" s="29"/>
      <c r="D17" s="67"/>
      <c r="E17" s="29"/>
      <c r="F17" s="29"/>
      <c r="G17" s="67"/>
      <c r="H17" s="29"/>
      <c r="I17" s="30"/>
      <c r="J17" s="30"/>
      <c r="K17" s="30"/>
      <c r="L17" s="30"/>
      <c r="M17" s="30"/>
      <c r="N17" s="30"/>
      <c r="O17" s="30"/>
      <c r="P17" s="30"/>
      <c r="Q17" s="30"/>
    </row>
    <row r="18" spans="1:19" x14ac:dyDescent="0.3">
      <c r="B18" s="29"/>
      <c r="C18" s="29"/>
      <c r="D18" s="67"/>
      <c r="E18" s="29"/>
      <c r="F18" s="29"/>
      <c r="G18" s="67"/>
      <c r="H18" s="29"/>
      <c r="I18" s="30"/>
      <c r="J18" s="30"/>
      <c r="K18" s="30"/>
      <c r="L18" s="30"/>
      <c r="M18" s="30"/>
      <c r="N18" s="30"/>
      <c r="O18" s="30"/>
      <c r="P18" s="30"/>
      <c r="Q18" s="30"/>
    </row>
    <row r="19" spans="1:19" x14ac:dyDescent="0.3">
      <c r="B19" s="29"/>
      <c r="C19" s="29"/>
      <c r="D19" s="67"/>
      <c r="E19" s="29"/>
      <c r="F19" s="29"/>
      <c r="G19" s="67"/>
      <c r="H19" s="29"/>
      <c r="I19" s="30"/>
      <c r="J19" s="30"/>
      <c r="K19" s="30"/>
      <c r="L19" s="30"/>
      <c r="M19" s="30"/>
      <c r="N19" s="30"/>
      <c r="O19" s="30"/>
      <c r="P19" s="30"/>
      <c r="Q19" s="30"/>
    </row>
    <row r="20" spans="1:19" x14ac:dyDescent="0.3">
      <c r="B20" s="29"/>
      <c r="C20" s="29"/>
      <c r="D20" s="67"/>
      <c r="E20" s="29"/>
      <c r="F20" s="29"/>
      <c r="G20" s="67"/>
      <c r="H20" s="29"/>
      <c r="I20" s="30"/>
      <c r="J20" s="30"/>
      <c r="K20" s="30"/>
      <c r="L20" s="30"/>
      <c r="M20" s="30"/>
      <c r="N20" s="30"/>
      <c r="O20" s="30"/>
      <c r="P20" s="30"/>
      <c r="Q20" s="30"/>
    </row>
    <row r="21" spans="1:19" x14ac:dyDescent="0.3">
      <c r="B21" s="29"/>
      <c r="C21" s="29"/>
      <c r="D21" s="67"/>
      <c r="E21" s="29"/>
      <c r="F21" s="29"/>
      <c r="G21" s="67"/>
      <c r="H21" s="31" t="str">
        <f>VALVAL</f>
        <v>млрд. одиниць</v>
      </c>
      <c r="I21" s="30"/>
      <c r="J21" s="30"/>
      <c r="K21" s="30"/>
      <c r="L21" s="30"/>
      <c r="M21" s="30"/>
      <c r="N21" s="30"/>
      <c r="O21" s="30"/>
      <c r="P21" s="30"/>
      <c r="Q21" s="30"/>
    </row>
    <row r="22" spans="1:19" x14ac:dyDescent="0.3">
      <c r="A22" s="82"/>
      <c r="B22" s="288">
        <v>46022</v>
      </c>
      <c r="C22" s="289"/>
      <c r="D22" s="290"/>
      <c r="E22" s="288">
        <v>46265</v>
      </c>
      <c r="F22" s="289"/>
      <c r="G22" s="290"/>
      <c r="H22" s="83"/>
      <c r="I22" s="57"/>
      <c r="J22" s="57"/>
      <c r="K22" s="57"/>
      <c r="L22" s="57"/>
      <c r="M22" s="57"/>
      <c r="N22" s="57"/>
      <c r="O22" s="57"/>
      <c r="P22" s="57"/>
      <c r="Q22" s="57"/>
      <c r="R22" s="57"/>
      <c r="S22" s="57"/>
    </row>
    <row r="23" spans="1:19" s="87" customFormat="1" x14ac:dyDescent="0.3">
      <c r="A23" s="85"/>
      <c r="B23" s="93" t="str">
        <f>USD</f>
        <v>дол. США</v>
      </c>
      <c r="C23" s="93" t="str">
        <f>UAH</f>
        <v>грн.</v>
      </c>
      <c r="D23" s="94" t="s">
        <v>0</v>
      </c>
      <c r="E23" s="93" t="str">
        <f>USD</f>
        <v>дол. США</v>
      </c>
      <c r="F23" s="93" t="str">
        <f>UAH</f>
        <v>грн.</v>
      </c>
      <c r="G23" s="94" t="s">
        <v>0</v>
      </c>
      <c r="H23" s="93" t="str">
        <f>CHANGE_OF_STRUCTURE</f>
        <v>Зміна структури</v>
      </c>
      <c r="I23" s="86"/>
      <c r="J23" s="86"/>
      <c r="K23" s="86"/>
      <c r="L23" s="86"/>
      <c r="M23" s="86"/>
      <c r="N23" s="86"/>
      <c r="O23" s="86"/>
      <c r="P23" s="86"/>
      <c r="Q23" s="86"/>
    </row>
    <row r="24" spans="1:19" s="40" customFormat="1" ht="14.4" x14ac:dyDescent="0.3">
      <c r="A24" s="165" t="str">
        <f>DEBT_TOTAL</f>
        <v>Загальна сума державного та гарантованого державою боргу</v>
      </c>
      <c r="B24" s="90">
        <f t="shared" ref="B24:H24" si="1">B$25+B$33</f>
        <v>213.33206790508999</v>
      </c>
      <c r="C24" s="90">
        <f t="shared" si="1"/>
        <v>9042.6770279453904</v>
      </c>
      <c r="D24" s="91">
        <f t="shared" si="1"/>
        <v>0.99999999999999989</v>
      </c>
      <c r="E24" s="90">
        <f t="shared" si="1"/>
        <v>215.55073598984998</v>
      </c>
      <c r="F24" s="90">
        <f t="shared" si="1"/>
        <v>9602.8930637009707</v>
      </c>
      <c r="G24" s="91">
        <f t="shared" si="1"/>
        <v>1</v>
      </c>
      <c r="H24" s="95">
        <f t="shared" si="1"/>
        <v>1.0000000000005664E-6</v>
      </c>
      <c r="I24" s="39"/>
      <c r="J24" s="39"/>
      <c r="K24" s="39"/>
      <c r="L24" s="39"/>
      <c r="M24" s="39"/>
      <c r="N24" s="39"/>
      <c r="O24" s="39"/>
      <c r="P24" s="39"/>
      <c r="Q24" s="39"/>
    </row>
    <row r="25" spans="1:19" s="66" customFormat="1" ht="14.4" outlineLevel="1" x14ac:dyDescent="0.3">
      <c r="A25" s="263" t="s">
        <v>1</v>
      </c>
      <c r="B25" s="264">
        <f t="shared" ref="B25:H25" si="2">SUM(B$26:B$32)</f>
        <v>206.80464722402999</v>
      </c>
      <c r="C25" s="264">
        <f t="shared" si="2"/>
        <v>8765.9940256002701</v>
      </c>
      <c r="D25" s="265">
        <f t="shared" si="2"/>
        <v>0.9694029999999999</v>
      </c>
      <c r="E25" s="264">
        <f t="shared" si="2"/>
        <v>209.76376640346999</v>
      </c>
      <c r="F25" s="264">
        <f t="shared" si="2"/>
        <v>9345.0806751427208</v>
      </c>
      <c r="G25" s="265">
        <f t="shared" si="2"/>
        <v>0.97315300000000005</v>
      </c>
      <c r="H25" s="278">
        <f t="shared" si="2"/>
        <v>3.7510000000000004E-3</v>
      </c>
      <c r="I25" s="65"/>
      <c r="J25" s="65"/>
      <c r="K25" s="65"/>
      <c r="L25" s="65"/>
      <c r="M25" s="65"/>
      <c r="N25" s="65"/>
      <c r="O25" s="65"/>
      <c r="P25" s="65"/>
      <c r="Q25" s="65"/>
    </row>
    <row r="26" spans="1:19" s="44" customFormat="1" outlineLevel="2" x14ac:dyDescent="0.3">
      <c r="A26" s="252" t="s">
        <v>151</v>
      </c>
      <c r="B26" s="175">
        <v>0.84530448688000004</v>
      </c>
      <c r="C26" s="175">
        <v>35.830597529009999</v>
      </c>
      <c r="D26" s="178">
        <v>3.9620000000000002E-3</v>
      </c>
      <c r="E26" s="175">
        <v>1.05020610488</v>
      </c>
      <c r="F26" s="175">
        <v>46.787207075650002</v>
      </c>
      <c r="G26" s="178">
        <v>4.8719999999999996E-3</v>
      </c>
      <c r="H26" s="175">
        <v>9.1E-4</v>
      </c>
      <c r="I26" s="43"/>
      <c r="J26" s="43"/>
      <c r="K26" s="43"/>
      <c r="L26" s="43"/>
      <c r="M26" s="43"/>
      <c r="N26" s="43"/>
      <c r="O26" s="43"/>
      <c r="P26" s="43"/>
      <c r="Q26" s="43"/>
    </row>
    <row r="27" spans="1:19" outlineLevel="2" x14ac:dyDescent="0.3">
      <c r="A27" s="262" t="s">
        <v>152</v>
      </c>
      <c r="B27" s="190">
        <v>45.906000765889999</v>
      </c>
      <c r="C27" s="190">
        <v>1945.85437926442</v>
      </c>
      <c r="D27" s="212">
        <v>0.21518599999999999</v>
      </c>
      <c r="E27" s="190">
        <v>47.13635331959</v>
      </c>
      <c r="F27" s="190">
        <v>2099.9481085644202</v>
      </c>
      <c r="G27" s="212">
        <v>0.21867900000000001</v>
      </c>
      <c r="H27" s="190">
        <v>3.493E-3</v>
      </c>
      <c r="I27" s="30"/>
      <c r="J27" s="30"/>
      <c r="K27" s="30"/>
      <c r="L27" s="30"/>
      <c r="M27" s="30"/>
      <c r="N27" s="30"/>
      <c r="O27" s="30"/>
      <c r="P27" s="30"/>
      <c r="Q27" s="30"/>
    </row>
    <row r="28" spans="1:19" outlineLevel="2" x14ac:dyDescent="0.3">
      <c r="A28" s="262" t="s">
        <v>153</v>
      </c>
      <c r="B28" s="190">
        <v>93.3111617064</v>
      </c>
      <c r="C28" s="190">
        <v>3955.2548601755502</v>
      </c>
      <c r="D28" s="212">
        <v>0.43739899999999998</v>
      </c>
      <c r="E28" s="190">
        <v>95.206441305469994</v>
      </c>
      <c r="F28" s="190">
        <v>4241.4945633758498</v>
      </c>
      <c r="G28" s="212">
        <v>0.441689</v>
      </c>
      <c r="H28" s="190">
        <v>4.2909999999999997E-3</v>
      </c>
      <c r="I28" s="30"/>
      <c r="J28" s="30"/>
      <c r="K28" s="30"/>
      <c r="L28" s="30"/>
      <c r="M28" s="30"/>
      <c r="N28" s="30"/>
      <c r="O28" s="30"/>
      <c r="P28" s="30"/>
      <c r="Q28" s="30"/>
    </row>
    <row r="29" spans="1:19" outlineLevel="2" x14ac:dyDescent="0.3">
      <c r="A29" s="262" t="s">
        <v>154</v>
      </c>
      <c r="B29" s="190">
        <v>4.9252078428199999</v>
      </c>
      <c r="C29" s="190">
        <v>208.76872499999999</v>
      </c>
      <c r="D29" s="212">
        <v>2.3087E-2</v>
      </c>
      <c r="E29" s="190">
        <v>4.8736119684399997</v>
      </c>
      <c r="F29" s="190">
        <v>217.12184999999999</v>
      </c>
      <c r="G29" s="212">
        <v>2.2610000000000002E-2</v>
      </c>
      <c r="H29" s="190">
        <v>-4.7699999999999999E-4</v>
      </c>
      <c r="I29" s="30"/>
      <c r="J29" s="30"/>
      <c r="K29" s="30"/>
      <c r="L29" s="30"/>
      <c r="M29" s="30"/>
      <c r="N29" s="30"/>
      <c r="O29" s="30"/>
      <c r="P29" s="30"/>
      <c r="Q29" s="30"/>
    </row>
    <row r="30" spans="1:19" outlineLevel="2" x14ac:dyDescent="0.3">
      <c r="A30" s="262" t="s">
        <v>155</v>
      </c>
      <c r="B30" s="190">
        <v>17.88285439785</v>
      </c>
      <c r="C30" s="190">
        <v>758.01485564655002</v>
      </c>
      <c r="D30" s="212">
        <v>8.3825999999999998E-2</v>
      </c>
      <c r="E30" s="190">
        <v>18.96062532441</v>
      </c>
      <c r="F30" s="190">
        <v>844.70533851505002</v>
      </c>
      <c r="G30" s="212">
        <v>8.7964000000000001E-2</v>
      </c>
      <c r="H30" s="190">
        <v>4.1370000000000001E-3</v>
      </c>
      <c r="I30" s="30"/>
      <c r="J30" s="30"/>
      <c r="K30" s="30"/>
      <c r="L30" s="30"/>
      <c r="M30" s="30"/>
      <c r="N30" s="30"/>
      <c r="O30" s="30"/>
      <c r="P30" s="30"/>
      <c r="Q30" s="30"/>
    </row>
    <row r="31" spans="1:19" outlineLevel="2" x14ac:dyDescent="0.3">
      <c r="A31" s="262" t="s">
        <v>156</v>
      </c>
      <c r="B31" s="190">
        <v>43.078925285730001</v>
      </c>
      <c r="C31" s="190">
        <v>1826.0208692253</v>
      </c>
      <c r="D31" s="212">
        <v>0.201934</v>
      </c>
      <c r="E31" s="190">
        <v>41.691434281900001</v>
      </c>
      <c r="F31" s="190">
        <v>1857.3742429640599</v>
      </c>
      <c r="G31" s="212">
        <v>0.19341800000000001</v>
      </c>
      <c r="H31" s="190">
        <v>-8.515E-3</v>
      </c>
      <c r="I31" s="30"/>
      <c r="J31" s="30"/>
      <c r="K31" s="30"/>
      <c r="L31" s="30"/>
      <c r="M31" s="30"/>
      <c r="N31" s="30"/>
      <c r="O31" s="30"/>
      <c r="P31" s="30"/>
      <c r="Q31" s="30"/>
    </row>
    <row r="32" spans="1:19" s="31" customFormat="1" outlineLevel="2" x14ac:dyDescent="0.3">
      <c r="A32" s="279" t="s">
        <v>157</v>
      </c>
      <c r="B32" s="280">
        <v>0.85519273845999999</v>
      </c>
      <c r="C32" s="280">
        <v>36.24973875944</v>
      </c>
      <c r="D32" s="281">
        <v>4.0090000000000004E-3</v>
      </c>
      <c r="E32" s="280">
        <v>0.84509409877999997</v>
      </c>
      <c r="F32" s="280">
        <v>37.64936464769</v>
      </c>
      <c r="G32" s="281">
        <v>3.921E-3</v>
      </c>
      <c r="H32" s="280">
        <v>-8.7999999999999998E-5</v>
      </c>
    </row>
    <row r="33" spans="1:17" ht="14.4" outlineLevel="1" x14ac:dyDescent="0.3">
      <c r="A33" s="274" t="s">
        <v>2</v>
      </c>
      <c r="B33" s="275">
        <f t="shared" ref="B33:H33" si="3">SUM(B$34:B$37)</f>
        <v>6.5274206810600006</v>
      </c>
      <c r="C33" s="275">
        <f t="shared" si="3"/>
        <v>276.68300234512003</v>
      </c>
      <c r="D33" s="276">
        <f t="shared" si="3"/>
        <v>3.0596999999999999E-2</v>
      </c>
      <c r="E33" s="275">
        <f t="shared" si="3"/>
        <v>5.7869695863799997</v>
      </c>
      <c r="F33" s="275">
        <f t="shared" si="3"/>
        <v>257.81238855825001</v>
      </c>
      <c r="G33" s="276">
        <f t="shared" si="3"/>
        <v>2.6846999999999999E-2</v>
      </c>
      <c r="H33" s="275">
        <f t="shared" si="3"/>
        <v>-3.7499999999999999E-3</v>
      </c>
      <c r="I33" s="30"/>
      <c r="J33" s="30"/>
      <c r="K33" s="30"/>
      <c r="L33" s="30"/>
      <c r="M33" s="30"/>
      <c r="N33" s="30"/>
      <c r="O33" s="30"/>
      <c r="P33" s="30"/>
      <c r="Q33" s="30"/>
    </row>
    <row r="34" spans="1:17" outlineLevel="2" x14ac:dyDescent="0.3">
      <c r="A34" s="262" t="s">
        <v>152</v>
      </c>
      <c r="B34" s="190">
        <v>2.40486477909</v>
      </c>
      <c r="C34" s="190">
        <v>101.9369272831</v>
      </c>
      <c r="D34" s="212">
        <v>1.1273E-2</v>
      </c>
      <c r="E34" s="190">
        <v>2.3154283985099999</v>
      </c>
      <c r="F34" s="190">
        <v>103.15349286782001</v>
      </c>
      <c r="G34" s="212">
        <v>1.0742E-2</v>
      </c>
      <c r="H34" s="190">
        <v>-5.31E-4</v>
      </c>
      <c r="I34" s="30"/>
      <c r="J34" s="30"/>
      <c r="K34" s="30"/>
      <c r="L34" s="30"/>
      <c r="M34" s="30"/>
      <c r="N34" s="30"/>
      <c r="O34" s="30"/>
      <c r="P34" s="30"/>
      <c r="Q34" s="30"/>
    </row>
    <row r="35" spans="1:17" outlineLevel="2" x14ac:dyDescent="0.3">
      <c r="A35" s="262" t="s">
        <v>153</v>
      </c>
      <c r="B35" s="190">
        <v>2.1786045984500002</v>
      </c>
      <c r="C35" s="190">
        <v>92.346255998570001</v>
      </c>
      <c r="D35" s="212">
        <v>1.0212000000000001E-2</v>
      </c>
      <c r="E35" s="190">
        <v>1.7341885289900001</v>
      </c>
      <c r="F35" s="190">
        <v>77.258966061600006</v>
      </c>
      <c r="G35" s="212">
        <v>8.0450000000000001E-3</v>
      </c>
      <c r="H35" s="190">
        <v>-2.1670000000000001E-3</v>
      </c>
      <c r="I35" s="30"/>
      <c r="J35" s="30"/>
      <c r="K35" s="30"/>
      <c r="L35" s="30"/>
      <c r="M35" s="30"/>
      <c r="N35" s="30"/>
      <c r="O35" s="30"/>
      <c r="P35" s="30"/>
      <c r="Q35" s="30"/>
    </row>
    <row r="36" spans="1:17" outlineLevel="2" x14ac:dyDescent="0.3">
      <c r="A36" s="262" t="s">
        <v>155</v>
      </c>
      <c r="B36" s="190">
        <v>0.52631030880999996</v>
      </c>
      <c r="C36" s="190">
        <v>22.309136107899999</v>
      </c>
      <c r="D36" s="212">
        <v>2.467E-3</v>
      </c>
      <c r="E36" s="190">
        <v>0.36064549812000002</v>
      </c>
      <c r="F36" s="190">
        <v>16.066937263900002</v>
      </c>
      <c r="G36" s="212">
        <v>1.673E-3</v>
      </c>
      <c r="H36" s="190">
        <v>-7.94E-4</v>
      </c>
      <c r="I36" s="30"/>
      <c r="J36" s="30"/>
      <c r="K36" s="30"/>
      <c r="L36" s="30"/>
      <c r="M36" s="30"/>
      <c r="N36" s="30"/>
      <c r="O36" s="30"/>
      <c r="P36" s="30"/>
      <c r="Q36" s="30"/>
    </row>
    <row r="37" spans="1:17" outlineLevel="2" x14ac:dyDescent="0.3">
      <c r="A37" s="262" t="s">
        <v>156</v>
      </c>
      <c r="B37" s="190">
        <v>1.4176409947099999</v>
      </c>
      <c r="C37" s="190">
        <v>60.090682955550001</v>
      </c>
      <c r="D37" s="212">
        <v>6.6449999999999999E-3</v>
      </c>
      <c r="E37" s="190">
        <v>1.3767071607600001</v>
      </c>
      <c r="F37" s="190">
        <v>61.33299236493</v>
      </c>
      <c r="G37" s="212">
        <v>6.3870000000000003E-3</v>
      </c>
      <c r="H37" s="190">
        <v>-2.5799999999999998E-4</v>
      </c>
      <c r="I37" s="30"/>
      <c r="J37" s="30"/>
      <c r="K37" s="30"/>
      <c r="L37" s="30"/>
      <c r="M37" s="30"/>
      <c r="N37" s="30"/>
      <c r="O37" s="30"/>
      <c r="P37" s="30"/>
      <c r="Q37" s="30"/>
    </row>
    <row r="38" spans="1:17" x14ac:dyDescent="0.3">
      <c r="B38" s="29"/>
      <c r="C38" s="29"/>
      <c r="D38" s="67"/>
      <c r="E38" s="29"/>
      <c r="F38" s="29"/>
      <c r="G38" s="67"/>
      <c r="H38" s="29"/>
      <c r="I38" s="30"/>
      <c r="J38" s="30"/>
      <c r="K38" s="30"/>
      <c r="L38" s="30"/>
      <c r="M38" s="30"/>
      <c r="N38" s="30"/>
      <c r="O38" s="30"/>
      <c r="P38" s="30"/>
      <c r="Q38" s="30"/>
    </row>
    <row r="39" spans="1:17" x14ac:dyDescent="0.3">
      <c r="B39" s="29"/>
      <c r="C39" s="29"/>
      <c r="D39" s="67"/>
      <c r="E39" s="29"/>
      <c r="F39" s="29"/>
      <c r="G39" s="67"/>
      <c r="H39" s="29"/>
      <c r="I39" s="30"/>
      <c r="J39" s="30"/>
      <c r="K39" s="30"/>
      <c r="L39" s="30"/>
      <c r="M39" s="30"/>
      <c r="N39" s="30"/>
      <c r="O39" s="30"/>
      <c r="P39" s="30"/>
      <c r="Q39" s="30"/>
    </row>
    <row r="40" spans="1:17" x14ac:dyDescent="0.3">
      <c r="B40" s="29"/>
      <c r="C40" s="29"/>
      <c r="D40" s="67"/>
      <c r="E40" s="29"/>
      <c r="F40" s="29"/>
      <c r="G40" s="67"/>
      <c r="H40" s="29"/>
      <c r="I40" s="30"/>
      <c r="J40" s="30"/>
      <c r="K40" s="30"/>
      <c r="L40" s="30"/>
      <c r="M40" s="30"/>
      <c r="N40" s="30"/>
      <c r="O40" s="30"/>
      <c r="P40" s="30"/>
      <c r="Q40" s="30"/>
    </row>
    <row r="41" spans="1:17" x14ac:dyDescent="0.3">
      <c r="B41" s="29"/>
      <c r="C41" s="29"/>
      <c r="D41" s="67"/>
      <c r="E41" s="29"/>
      <c r="F41" s="29"/>
      <c r="G41" s="67"/>
      <c r="H41" s="29"/>
      <c r="I41" s="30"/>
      <c r="J41" s="30"/>
      <c r="K41" s="30"/>
      <c r="L41" s="30"/>
      <c r="M41" s="30"/>
      <c r="N41" s="30"/>
      <c r="O41" s="30"/>
      <c r="P41" s="30"/>
      <c r="Q41" s="30"/>
    </row>
    <row r="42" spans="1:17" x14ac:dyDescent="0.3">
      <c r="B42" s="29"/>
      <c r="C42" s="29"/>
      <c r="D42" s="67"/>
      <c r="E42" s="29"/>
      <c r="F42" s="29"/>
      <c r="G42" s="67"/>
      <c r="H42" s="29"/>
      <c r="I42" s="30"/>
      <c r="J42" s="30"/>
      <c r="K42" s="30"/>
      <c r="L42" s="30"/>
      <c r="M42" s="30"/>
      <c r="N42" s="30"/>
      <c r="O42" s="30"/>
      <c r="P42" s="30"/>
      <c r="Q42" s="30"/>
    </row>
    <row r="43" spans="1:17" x14ac:dyDescent="0.3">
      <c r="B43" s="29"/>
      <c r="C43" s="29"/>
      <c r="D43" s="67"/>
      <c r="E43" s="29"/>
      <c r="F43" s="29"/>
      <c r="G43" s="67"/>
      <c r="H43" s="29"/>
      <c r="I43" s="30"/>
      <c r="J43" s="30"/>
      <c r="K43" s="30"/>
      <c r="L43" s="30"/>
      <c r="M43" s="30"/>
      <c r="N43" s="30"/>
      <c r="O43" s="30"/>
      <c r="P43" s="30"/>
      <c r="Q43" s="30"/>
    </row>
    <row r="44" spans="1:17" x14ac:dyDescent="0.3">
      <c r="B44" s="29"/>
      <c r="C44" s="29"/>
      <c r="D44" s="67"/>
      <c r="E44" s="29"/>
      <c r="F44" s="29"/>
      <c r="G44" s="67"/>
      <c r="H44" s="29"/>
      <c r="I44" s="30"/>
      <c r="J44" s="30"/>
      <c r="K44" s="30"/>
      <c r="L44" s="30"/>
      <c r="M44" s="30"/>
      <c r="N44" s="30"/>
      <c r="O44" s="30"/>
      <c r="P44" s="30"/>
      <c r="Q44" s="30"/>
    </row>
    <row r="45" spans="1:17" x14ac:dyDescent="0.3">
      <c r="B45" s="29"/>
      <c r="C45" s="29"/>
      <c r="D45" s="67"/>
      <c r="E45" s="29"/>
      <c r="F45" s="29"/>
      <c r="G45" s="67"/>
      <c r="H45" s="29"/>
      <c r="I45" s="30"/>
      <c r="J45" s="30"/>
      <c r="K45" s="30"/>
      <c r="L45" s="30"/>
      <c r="M45" s="30"/>
      <c r="N45" s="30"/>
      <c r="O45" s="30"/>
      <c r="P45" s="30"/>
      <c r="Q45" s="30"/>
    </row>
    <row r="46" spans="1:17" x14ac:dyDescent="0.3">
      <c r="B46" s="29"/>
      <c r="C46" s="29"/>
      <c r="D46" s="67"/>
      <c r="E46" s="29"/>
      <c r="F46" s="29"/>
      <c r="G46" s="67"/>
      <c r="H46" s="29"/>
      <c r="I46" s="30"/>
      <c r="J46" s="30"/>
      <c r="K46" s="30"/>
      <c r="L46" s="30"/>
      <c r="M46" s="30"/>
      <c r="N46" s="30"/>
      <c r="O46" s="30"/>
      <c r="P46" s="30"/>
      <c r="Q46" s="30"/>
    </row>
    <row r="47" spans="1:17" x14ac:dyDescent="0.3">
      <c r="B47" s="29"/>
      <c r="C47" s="29"/>
      <c r="D47" s="67"/>
      <c r="E47" s="29"/>
      <c r="F47" s="29"/>
      <c r="G47" s="67"/>
      <c r="H47" s="29"/>
      <c r="I47" s="30"/>
      <c r="J47" s="30"/>
      <c r="K47" s="30"/>
      <c r="L47" s="30"/>
      <c r="M47" s="30"/>
      <c r="N47" s="30"/>
      <c r="O47" s="30"/>
      <c r="P47" s="30"/>
      <c r="Q47" s="30"/>
    </row>
    <row r="48" spans="1:17" x14ac:dyDescent="0.3">
      <c r="B48" s="29"/>
      <c r="C48" s="29"/>
      <c r="D48" s="67"/>
      <c r="E48" s="29"/>
      <c r="F48" s="29"/>
      <c r="G48" s="67"/>
      <c r="H48" s="29"/>
      <c r="I48" s="30"/>
      <c r="J48" s="30"/>
      <c r="K48" s="30"/>
      <c r="L48" s="30"/>
      <c r="M48" s="30"/>
      <c r="N48" s="30"/>
      <c r="O48" s="30"/>
      <c r="P48" s="30"/>
      <c r="Q48" s="30"/>
    </row>
    <row r="49" spans="2:17" x14ac:dyDescent="0.3">
      <c r="B49" s="29"/>
      <c r="C49" s="29"/>
      <c r="D49" s="67"/>
      <c r="E49" s="29"/>
      <c r="F49" s="29"/>
      <c r="G49" s="67"/>
      <c r="H49" s="29"/>
      <c r="I49" s="30"/>
      <c r="J49" s="30"/>
      <c r="K49" s="30"/>
      <c r="L49" s="30"/>
      <c r="M49" s="30"/>
      <c r="N49" s="30"/>
      <c r="O49" s="30"/>
      <c r="P49" s="30"/>
      <c r="Q49" s="30"/>
    </row>
    <row r="50" spans="2:17" x14ac:dyDescent="0.3">
      <c r="B50" s="29"/>
      <c r="C50" s="29"/>
      <c r="D50" s="67"/>
      <c r="E50" s="29"/>
      <c r="F50" s="29"/>
      <c r="G50" s="67"/>
      <c r="H50" s="29"/>
      <c r="I50" s="30"/>
      <c r="J50" s="30"/>
      <c r="K50" s="30"/>
      <c r="L50" s="30"/>
      <c r="M50" s="30"/>
      <c r="N50" s="30"/>
      <c r="O50" s="30"/>
      <c r="P50" s="30"/>
      <c r="Q50" s="30"/>
    </row>
    <row r="51" spans="2:17" x14ac:dyDescent="0.3">
      <c r="B51" s="29"/>
      <c r="C51" s="29"/>
      <c r="D51" s="67"/>
      <c r="E51" s="29"/>
      <c r="F51" s="29"/>
      <c r="G51" s="67"/>
      <c r="H51" s="29"/>
      <c r="I51" s="30"/>
      <c r="J51" s="30"/>
      <c r="K51" s="30"/>
      <c r="L51" s="30"/>
      <c r="M51" s="30"/>
      <c r="N51" s="30"/>
      <c r="O51" s="30"/>
      <c r="P51" s="30"/>
      <c r="Q51" s="30"/>
    </row>
    <row r="52" spans="2:17" x14ac:dyDescent="0.3">
      <c r="B52" s="29"/>
      <c r="C52" s="29"/>
      <c r="D52" s="67"/>
      <c r="E52" s="29"/>
      <c r="F52" s="29"/>
      <c r="G52" s="67"/>
      <c r="H52" s="29"/>
      <c r="I52" s="30"/>
      <c r="J52" s="30"/>
      <c r="K52" s="30"/>
      <c r="L52" s="30"/>
      <c r="M52" s="30"/>
      <c r="N52" s="30"/>
      <c r="O52" s="30"/>
      <c r="P52" s="30"/>
      <c r="Q52" s="30"/>
    </row>
    <row r="53" spans="2:17" x14ac:dyDescent="0.3">
      <c r="B53" s="29"/>
      <c r="C53" s="29"/>
      <c r="D53" s="67"/>
      <c r="E53" s="29"/>
      <c r="F53" s="29"/>
      <c r="G53" s="67"/>
      <c r="H53" s="29"/>
      <c r="I53" s="30"/>
      <c r="J53" s="30"/>
      <c r="K53" s="30"/>
      <c r="L53" s="30"/>
      <c r="M53" s="30"/>
      <c r="N53" s="30"/>
      <c r="O53" s="30"/>
      <c r="P53" s="30"/>
      <c r="Q53" s="30"/>
    </row>
    <row r="54" spans="2:17" x14ac:dyDescent="0.3">
      <c r="B54" s="29"/>
      <c r="C54" s="29"/>
      <c r="D54" s="67"/>
      <c r="E54" s="29"/>
      <c r="F54" s="29"/>
      <c r="G54" s="67"/>
      <c r="H54" s="29"/>
      <c r="I54" s="30"/>
      <c r="J54" s="30"/>
      <c r="K54" s="30"/>
      <c r="L54" s="30"/>
      <c r="M54" s="30"/>
      <c r="N54" s="30"/>
      <c r="O54" s="30"/>
      <c r="P54" s="30"/>
      <c r="Q54" s="30"/>
    </row>
    <row r="55" spans="2:17" x14ac:dyDescent="0.3">
      <c r="B55" s="29"/>
      <c r="C55" s="29"/>
      <c r="D55" s="67"/>
      <c r="E55" s="29"/>
      <c r="F55" s="29"/>
      <c r="G55" s="67"/>
      <c r="H55" s="29"/>
      <c r="I55" s="30"/>
      <c r="J55" s="30"/>
      <c r="K55" s="30"/>
      <c r="L55" s="30"/>
      <c r="M55" s="30"/>
      <c r="N55" s="30"/>
      <c r="O55" s="30"/>
      <c r="P55" s="30"/>
      <c r="Q55" s="30"/>
    </row>
    <row r="56" spans="2:17" x14ac:dyDescent="0.3">
      <c r="B56" s="29"/>
      <c r="C56" s="29"/>
      <c r="D56" s="67"/>
      <c r="E56" s="29"/>
      <c r="F56" s="29"/>
      <c r="G56" s="67"/>
      <c r="H56" s="29"/>
      <c r="I56" s="30"/>
      <c r="J56" s="30"/>
      <c r="K56" s="30"/>
      <c r="L56" s="30"/>
      <c r="M56" s="30"/>
      <c r="N56" s="30"/>
      <c r="O56" s="30"/>
      <c r="P56" s="30"/>
      <c r="Q56" s="30"/>
    </row>
    <row r="57" spans="2:17" x14ac:dyDescent="0.3">
      <c r="B57" s="29"/>
      <c r="C57" s="29"/>
      <c r="D57" s="67"/>
      <c r="E57" s="29"/>
      <c r="F57" s="29"/>
      <c r="G57" s="67"/>
      <c r="H57" s="29"/>
      <c r="I57" s="30"/>
      <c r="J57" s="30"/>
      <c r="K57" s="30"/>
      <c r="L57" s="30"/>
      <c r="M57" s="30"/>
      <c r="N57" s="30"/>
      <c r="O57" s="30"/>
      <c r="P57" s="30"/>
      <c r="Q57" s="30"/>
    </row>
    <row r="58" spans="2:17" x14ac:dyDescent="0.3">
      <c r="B58" s="29"/>
      <c r="C58" s="29"/>
      <c r="D58" s="67"/>
      <c r="E58" s="29"/>
      <c r="F58" s="29"/>
      <c r="G58" s="67"/>
      <c r="H58" s="29"/>
      <c r="I58" s="30"/>
      <c r="J58" s="30"/>
      <c r="K58" s="30"/>
      <c r="L58" s="30"/>
      <c r="M58" s="30"/>
      <c r="N58" s="30"/>
      <c r="O58" s="30"/>
      <c r="P58" s="30"/>
      <c r="Q58" s="30"/>
    </row>
    <row r="59" spans="2:17" x14ac:dyDescent="0.3">
      <c r="B59" s="29"/>
      <c r="C59" s="29"/>
      <c r="D59" s="67"/>
      <c r="E59" s="29"/>
      <c r="F59" s="29"/>
      <c r="G59" s="67"/>
      <c r="H59" s="29"/>
      <c r="I59" s="30"/>
      <c r="J59" s="30"/>
      <c r="K59" s="30"/>
      <c r="L59" s="30"/>
      <c r="M59" s="30"/>
      <c r="N59" s="30"/>
      <c r="O59" s="30"/>
      <c r="P59" s="30"/>
      <c r="Q59" s="30"/>
    </row>
    <row r="60" spans="2:17" x14ac:dyDescent="0.3">
      <c r="B60" s="29"/>
      <c r="C60" s="29"/>
      <c r="D60" s="67"/>
      <c r="E60" s="29"/>
      <c r="F60" s="29"/>
      <c r="G60" s="67"/>
      <c r="H60" s="29"/>
      <c r="I60" s="30"/>
      <c r="J60" s="30"/>
      <c r="K60" s="30"/>
      <c r="L60" s="30"/>
      <c r="M60" s="30"/>
      <c r="N60" s="30"/>
      <c r="O60" s="30"/>
      <c r="P60" s="30"/>
      <c r="Q60" s="30"/>
    </row>
    <row r="61" spans="2:17" x14ac:dyDescent="0.3">
      <c r="B61" s="29"/>
      <c r="C61" s="29"/>
      <c r="D61" s="67"/>
      <c r="E61" s="29"/>
      <c r="F61" s="29"/>
      <c r="G61" s="67"/>
      <c r="H61" s="29"/>
      <c r="I61" s="30"/>
      <c r="J61" s="30"/>
      <c r="K61" s="30"/>
      <c r="L61" s="30"/>
      <c r="M61" s="30"/>
      <c r="N61" s="30"/>
      <c r="O61" s="30"/>
      <c r="P61" s="30"/>
      <c r="Q61" s="30"/>
    </row>
    <row r="62" spans="2:17" x14ac:dyDescent="0.3">
      <c r="B62" s="29"/>
      <c r="C62" s="29"/>
      <c r="D62" s="67"/>
      <c r="E62" s="29"/>
      <c r="F62" s="29"/>
      <c r="G62" s="67"/>
      <c r="H62" s="29"/>
      <c r="I62" s="30"/>
      <c r="J62" s="30"/>
      <c r="K62" s="30"/>
      <c r="L62" s="30"/>
      <c r="M62" s="30"/>
      <c r="N62" s="30"/>
      <c r="O62" s="30"/>
      <c r="P62" s="30"/>
      <c r="Q62" s="30"/>
    </row>
    <row r="63" spans="2:17" x14ac:dyDescent="0.3">
      <c r="B63" s="29"/>
      <c r="C63" s="29"/>
      <c r="D63" s="67"/>
      <c r="E63" s="29"/>
      <c r="F63" s="29"/>
      <c r="G63" s="67"/>
      <c r="H63" s="29"/>
      <c r="I63" s="30"/>
      <c r="J63" s="30"/>
      <c r="K63" s="30"/>
      <c r="L63" s="30"/>
      <c r="M63" s="30"/>
      <c r="N63" s="30"/>
      <c r="O63" s="30"/>
      <c r="P63" s="30"/>
      <c r="Q63" s="30"/>
    </row>
    <row r="64" spans="2:17" x14ac:dyDescent="0.3">
      <c r="B64" s="29"/>
      <c r="C64" s="29"/>
      <c r="D64" s="67"/>
      <c r="E64" s="29"/>
      <c r="F64" s="29"/>
      <c r="G64" s="67"/>
      <c r="H64" s="29"/>
      <c r="I64" s="30"/>
      <c r="J64" s="30"/>
      <c r="K64" s="30"/>
      <c r="L64" s="30"/>
      <c r="M64" s="30"/>
      <c r="N64" s="30"/>
      <c r="O64" s="30"/>
      <c r="P64" s="30"/>
      <c r="Q64" s="30"/>
    </row>
    <row r="65" spans="2:17" x14ac:dyDescent="0.3">
      <c r="B65" s="29"/>
      <c r="C65" s="29"/>
      <c r="D65" s="67"/>
      <c r="E65" s="29"/>
      <c r="F65" s="29"/>
      <c r="G65" s="67"/>
      <c r="H65" s="29"/>
      <c r="I65" s="30"/>
      <c r="J65" s="30"/>
      <c r="K65" s="30"/>
      <c r="L65" s="30"/>
      <c r="M65" s="30"/>
      <c r="N65" s="30"/>
      <c r="O65" s="30"/>
      <c r="P65" s="30"/>
      <c r="Q65" s="30"/>
    </row>
    <row r="66" spans="2:17" x14ac:dyDescent="0.3">
      <c r="B66" s="29"/>
      <c r="C66" s="29"/>
      <c r="D66" s="67"/>
      <c r="E66" s="29"/>
      <c r="F66" s="29"/>
      <c r="G66" s="67"/>
      <c r="H66" s="29"/>
      <c r="I66" s="30"/>
      <c r="J66" s="30"/>
      <c r="K66" s="30"/>
      <c r="L66" s="30"/>
      <c r="M66" s="30"/>
      <c r="N66" s="30"/>
      <c r="O66" s="30"/>
      <c r="P66" s="30"/>
      <c r="Q66" s="30"/>
    </row>
    <row r="67" spans="2:17" x14ac:dyDescent="0.3">
      <c r="B67" s="29"/>
      <c r="C67" s="29"/>
      <c r="D67" s="67"/>
      <c r="E67" s="29"/>
      <c r="F67" s="29"/>
      <c r="G67" s="67"/>
      <c r="H67" s="29"/>
      <c r="I67" s="30"/>
      <c r="J67" s="30"/>
      <c r="K67" s="30"/>
      <c r="L67" s="30"/>
      <c r="M67" s="30"/>
      <c r="N67" s="30"/>
      <c r="O67" s="30"/>
      <c r="P67" s="30"/>
      <c r="Q67" s="30"/>
    </row>
    <row r="68" spans="2:17" x14ac:dyDescent="0.3">
      <c r="B68" s="29"/>
      <c r="C68" s="29"/>
      <c r="D68" s="67"/>
      <c r="E68" s="29"/>
      <c r="F68" s="29"/>
      <c r="G68" s="67"/>
      <c r="H68" s="29"/>
      <c r="I68" s="30"/>
      <c r="J68" s="30"/>
      <c r="K68" s="30"/>
      <c r="L68" s="30"/>
      <c r="M68" s="30"/>
      <c r="N68" s="30"/>
      <c r="O68" s="30"/>
      <c r="P68" s="30"/>
      <c r="Q68" s="30"/>
    </row>
    <row r="69" spans="2:17" x14ac:dyDescent="0.3">
      <c r="B69" s="29"/>
      <c r="C69" s="29"/>
      <c r="D69" s="67"/>
      <c r="E69" s="29"/>
      <c r="F69" s="29"/>
      <c r="G69" s="67"/>
      <c r="H69" s="29"/>
      <c r="I69" s="30"/>
      <c r="J69" s="30"/>
      <c r="K69" s="30"/>
      <c r="L69" s="30"/>
      <c r="M69" s="30"/>
      <c r="N69" s="30"/>
      <c r="O69" s="30"/>
      <c r="P69" s="30"/>
      <c r="Q69" s="30"/>
    </row>
    <row r="70" spans="2:17" x14ac:dyDescent="0.3">
      <c r="B70" s="29"/>
      <c r="C70" s="29"/>
      <c r="D70" s="67"/>
      <c r="E70" s="29"/>
      <c r="F70" s="29"/>
      <c r="G70" s="67"/>
      <c r="H70" s="29"/>
      <c r="I70" s="30"/>
      <c r="J70" s="30"/>
      <c r="K70" s="30"/>
      <c r="L70" s="30"/>
      <c r="M70" s="30"/>
      <c r="N70" s="30"/>
      <c r="O70" s="30"/>
      <c r="P70" s="30"/>
      <c r="Q70" s="30"/>
    </row>
    <row r="71" spans="2:17" x14ac:dyDescent="0.3">
      <c r="B71" s="29"/>
      <c r="C71" s="29"/>
      <c r="D71" s="67"/>
      <c r="E71" s="29"/>
      <c r="F71" s="29"/>
      <c r="G71" s="67"/>
      <c r="H71" s="29"/>
      <c r="I71" s="30"/>
      <c r="J71" s="30"/>
      <c r="K71" s="30"/>
      <c r="L71" s="30"/>
      <c r="M71" s="30"/>
      <c r="N71" s="30"/>
      <c r="O71" s="30"/>
      <c r="P71" s="30"/>
      <c r="Q71" s="30"/>
    </row>
    <row r="72" spans="2:17" x14ac:dyDescent="0.3">
      <c r="B72" s="29"/>
      <c r="C72" s="29"/>
      <c r="D72" s="67"/>
      <c r="E72" s="29"/>
      <c r="F72" s="29"/>
      <c r="G72" s="67"/>
      <c r="H72" s="29"/>
      <c r="I72" s="30"/>
      <c r="J72" s="30"/>
      <c r="K72" s="30"/>
      <c r="L72" s="30"/>
      <c r="M72" s="30"/>
      <c r="N72" s="30"/>
      <c r="O72" s="30"/>
      <c r="P72" s="30"/>
      <c r="Q72" s="30"/>
    </row>
    <row r="73" spans="2:17" x14ac:dyDescent="0.3">
      <c r="B73" s="29"/>
      <c r="C73" s="29"/>
      <c r="D73" s="67"/>
      <c r="E73" s="29"/>
      <c r="F73" s="29"/>
      <c r="G73" s="67"/>
      <c r="H73" s="29"/>
      <c r="I73" s="30"/>
      <c r="J73" s="30"/>
      <c r="K73" s="30"/>
      <c r="L73" s="30"/>
      <c r="M73" s="30"/>
      <c r="N73" s="30"/>
      <c r="O73" s="30"/>
      <c r="P73" s="30"/>
      <c r="Q73" s="30"/>
    </row>
    <row r="74" spans="2:17" x14ac:dyDescent="0.3">
      <c r="B74" s="29"/>
      <c r="C74" s="29"/>
      <c r="D74" s="67"/>
      <c r="E74" s="29"/>
      <c r="F74" s="29"/>
      <c r="G74" s="67"/>
      <c r="H74" s="29"/>
      <c r="I74" s="30"/>
      <c r="J74" s="30"/>
      <c r="K74" s="30"/>
      <c r="L74" s="30"/>
      <c r="M74" s="30"/>
      <c r="N74" s="30"/>
      <c r="O74" s="30"/>
      <c r="P74" s="30"/>
      <c r="Q74" s="30"/>
    </row>
    <row r="75" spans="2:17" x14ac:dyDescent="0.3">
      <c r="B75" s="29"/>
      <c r="C75" s="29"/>
      <c r="D75" s="67"/>
      <c r="E75" s="29"/>
      <c r="F75" s="29"/>
      <c r="G75" s="67"/>
      <c r="H75" s="29"/>
      <c r="I75" s="30"/>
      <c r="J75" s="30"/>
      <c r="K75" s="30"/>
      <c r="L75" s="30"/>
      <c r="M75" s="30"/>
      <c r="N75" s="30"/>
      <c r="O75" s="30"/>
      <c r="P75" s="30"/>
      <c r="Q75" s="30"/>
    </row>
    <row r="76" spans="2:17" x14ac:dyDescent="0.3">
      <c r="B76" s="29"/>
      <c r="C76" s="29"/>
      <c r="D76" s="67"/>
      <c r="E76" s="29"/>
      <c r="F76" s="29"/>
      <c r="G76" s="67"/>
      <c r="H76" s="29"/>
      <c r="I76" s="30"/>
      <c r="J76" s="30"/>
      <c r="K76" s="30"/>
      <c r="L76" s="30"/>
      <c r="M76" s="30"/>
      <c r="N76" s="30"/>
      <c r="O76" s="30"/>
      <c r="P76" s="30"/>
      <c r="Q76" s="30"/>
    </row>
    <row r="77" spans="2:17" x14ac:dyDescent="0.3">
      <c r="B77" s="29"/>
      <c r="C77" s="29"/>
      <c r="D77" s="67"/>
      <c r="E77" s="29"/>
      <c r="F77" s="29"/>
      <c r="G77" s="67"/>
      <c r="H77" s="29"/>
      <c r="I77" s="30"/>
      <c r="J77" s="30"/>
      <c r="K77" s="30"/>
      <c r="L77" s="30"/>
      <c r="M77" s="30"/>
      <c r="N77" s="30"/>
      <c r="O77" s="30"/>
      <c r="P77" s="30"/>
      <c r="Q77" s="30"/>
    </row>
    <row r="78" spans="2:17" x14ac:dyDescent="0.3">
      <c r="B78" s="29"/>
      <c r="C78" s="29"/>
      <c r="D78" s="67"/>
      <c r="E78" s="29"/>
      <c r="F78" s="29"/>
      <c r="G78" s="67"/>
      <c r="H78" s="29"/>
      <c r="I78" s="30"/>
      <c r="J78" s="30"/>
      <c r="K78" s="30"/>
      <c r="L78" s="30"/>
      <c r="M78" s="30"/>
      <c r="N78" s="30"/>
      <c r="O78" s="30"/>
      <c r="P78" s="30"/>
      <c r="Q78" s="30"/>
    </row>
    <row r="79" spans="2:17" x14ac:dyDescent="0.3">
      <c r="B79" s="29"/>
      <c r="C79" s="29"/>
      <c r="D79" s="67"/>
      <c r="E79" s="29"/>
      <c r="F79" s="29"/>
      <c r="G79" s="67"/>
      <c r="H79" s="29"/>
      <c r="I79" s="30"/>
      <c r="J79" s="30"/>
      <c r="K79" s="30"/>
      <c r="L79" s="30"/>
      <c r="M79" s="30"/>
      <c r="N79" s="30"/>
      <c r="O79" s="30"/>
      <c r="P79" s="30"/>
      <c r="Q79" s="30"/>
    </row>
    <row r="80" spans="2:17" x14ac:dyDescent="0.3">
      <c r="B80" s="29"/>
      <c r="C80" s="29"/>
      <c r="D80" s="67"/>
      <c r="E80" s="29"/>
      <c r="F80" s="29"/>
      <c r="G80" s="67"/>
      <c r="H80" s="29"/>
      <c r="I80" s="30"/>
      <c r="J80" s="30"/>
      <c r="K80" s="30"/>
      <c r="L80" s="30"/>
      <c r="M80" s="30"/>
      <c r="N80" s="30"/>
      <c r="O80" s="30"/>
      <c r="P80" s="30"/>
      <c r="Q80" s="30"/>
    </row>
    <row r="81" spans="2:17" x14ac:dyDescent="0.3">
      <c r="B81" s="29"/>
      <c r="C81" s="29"/>
      <c r="D81" s="67"/>
      <c r="E81" s="29"/>
      <c r="F81" s="29"/>
      <c r="G81" s="67"/>
      <c r="H81" s="29"/>
      <c r="I81" s="30"/>
      <c r="J81" s="30"/>
      <c r="K81" s="30"/>
      <c r="L81" s="30"/>
      <c r="M81" s="30"/>
      <c r="N81" s="30"/>
      <c r="O81" s="30"/>
      <c r="P81" s="30"/>
      <c r="Q81" s="30"/>
    </row>
    <row r="82" spans="2:17" x14ac:dyDescent="0.3">
      <c r="B82" s="29"/>
      <c r="C82" s="29"/>
      <c r="D82" s="67"/>
      <c r="E82" s="29"/>
      <c r="F82" s="29"/>
      <c r="G82" s="67"/>
      <c r="H82" s="29"/>
      <c r="I82" s="30"/>
      <c r="J82" s="30"/>
      <c r="K82" s="30"/>
      <c r="L82" s="30"/>
      <c r="M82" s="30"/>
      <c r="N82" s="30"/>
      <c r="O82" s="30"/>
      <c r="P82" s="30"/>
      <c r="Q82" s="30"/>
    </row>
    <row r="83" spans="2:17" x14ac:dyDescent="0.3">
      <c r="B83" s="29"/>
      <c r="C83" s="29"/>
      <c r="D83" s="67"/>
      <c r="E83" s="29"/>
      <c r="F83" s="29"/>
      <c r="G83" s="67"/>
      <c r="H83" s="29"/>
      <c r="I83" s="30"/>
      <c r="J83" s="30"/>
      <c r="K83" s="30"/>
      <c r="L83" s="30"/>
      <c r="M83" s="30"/>
      <c r="N83" s="30"/>
      <c r="O83" s="30"/>
      <c r="P83" s="30"/>
      <c r="Q83" s="30"/>
    </row>
    <row r="84" spans="2:17" x14ac:dyDescent="0.3">
      <c r="B84" s="29"/>
      <c r="C84" s="29"/>
      <c r="D84" s="67"/>
      <c r="E84" s="29"/>
      <c r="F84" s="29"/>
      <c r="G84" s="67"/>
      <c r="H84" s="29"/>
      <c r="I84" s="30"/>
      <c r="J84" s="30"/>
      <c r="K84" s="30"/>
      <c r="L84" s="30"/>
      <c r="M84" s="30"/>
      <c r="N84" s="30"/>
      <c r="O84" s="30"/>
      <c r="P84" s="30"/>
      <c r="Q84" s="30"/>
    </row>
    <row r="85" spans="2:17" x14ac:dyDescent="0.3">
      <c r="B85" s="29"/>
      <c r="C85" s="29"/>
      <c r="D85" s="67"/>
      <c r="E85" s="29"/>
      <c r="F85" s="29"/>
      <c r="G85" s="67"/>
      <c r="H85" s="29"/>
      <c r="I85" s="30"/>
      <c r="J85" s="30"/>
      <c r="K85" s="30"/>
      <c r="L85" s="30"/>
      <c r="M85" s="30"/>
      <c r="N85" s="30"/>
      <c r="O85" s="30"/>
      <c r="P85" s="30"/>
      <c r="Q85" s="30"/>
    </row>
    <row r="86" spans="2:17" x14ac:dyDescent="0.3">
      <c r="B86" s="29"/>
      <c r="C86" s="29"/>
      <c r="D86" s="67"/>
      <c r="E86" s="29"/>
      <c r="F86" s="29"/>
      <c r="G86" s="67"/>
      <c r="H86" s="29"/>
      <c r="I86" s="30"/>
      <c r="J86" s="30"/>
      <c r="K86" s="30"/>
      <c r="L86" s="30"/>
      <c r="M86" s="30"/>
      <c r="N86" s="30"/>
      <c r="O86" s="30"/>
      <c r="P86" s="30"/>
      <c r="Q86" s="30"/>
    </row>
    <row r="87" spans="2:17" x14ac:dyDescent="0.3">
      <c r="B87" s="29"/>
      <c r="C87" s="29"/>
      <c r="D87" s="67"/>
      <c r="E87" s="29"/>
      <c r="F87" s="29"/>
      <c r="G87" s="67"/>
      <c r="H87" s="29"/>
      <c r="I87" s="30"/>
      <c r="J87" s="30"/>
      <c r="K87" s="30"/>
      <c r="L87" s="30"/>
      <c r="M87" s="30"/>
      <c r="N87" s="30"/>
      <c r="O87" s="30"/>
      <c r="P87" s="30"/>
      <c r="Q87" s="30"/>
    </row>
    <row r="88" spans="2:17" x14ac:dyDescent="0.3">
      <c r="B88" s="29"/>
      <c r="C88" s="29"/>
      <c r="D88" s="67"/>
      <c r="E88" s="29"/>
      <c r="F88" s="29"/>
      <c r="G88" s="67"/>
      <c r="H88" s="29"/>
      <c r="I88" s="30"/>
      <c r="J88" s="30"/>
      <c r="K88" s="30"/>
      <c r="L88" s="30"/>
      <c r="M88" s="30"/>
      <c r="N88" s="30"/>
      <c r="O88" s="30"/>
      <c r="P88" s="30"/>
      <c r="Q88" s="30"/>
    </row>
    <row r="89" spans="2:17" x14ac:dyDescent="0.3">
      <c r="B89" s="29"/>
      <c r="C89" s="29"/>
      <c r="D89" s="67"/>
      <c r="E89" s="29"/>
      <c r="F89" s="29"/>
      <c r="G89" s="67"/>
      <c r="H89" s="29"/>
      <c r="I89" s="30"/>
      <c r="J89" s="30"/>
      <c r="K89" s="30"/>
      <c r="L89" s="30"/>
      <c r="M89" s="30"/>
      <c r="N89" s="30"/>
      <c r="O89" s="30"/>
      <c r="P89" s="30"/>
      <c r="Q89" s="30"/>
    </row>
    <row r="90" spans="2:17" x14ac:dyDescent="0.3">
      <c r="B90" s="29"/>
      <c r="C90" s="29"/>
      <c r="D90" s="67"/>
      <c r="E90" s="29"/>
      <c r="F90" s="29"/>
      <c r="G90" s="67"/>
      <c r="H90" s="29"/>
      <c r="I90" s="30"/>
      <c r="J90" s="30"/>
      <c r="K90" s="30"/>
      <c r="L90" s="30"/>
      <c r="M90" s="30"/>
      <c r="N90" s="30"/>
      <c r="O90" s="30"/>
      <c r="P90" s="30"/>
      <c r="Q90" s="30"/>
    </row>
    <row r="91" spans="2:17" x14ac:dyDescent="0.3">
      <c r="B91" s="29"/>
      <c r="C91" s="29"/>
      <c r="D91" s="67"/>
      <c r="E91" s="29"/>
      <c r="F91" s="29"/>
      <c r="G91" s="67"/>
      <c r="H91" s="29"/>
      <c r="I91" s="30"/>
      <c r="J91" s="30"/>
      <c r="K91" s="30"/>
      <c r="L91" s="30"/>
      <c r="M91" s="30"/>
      <c r="N91" s="30"/>
      <c r="O91" s="30"/>
      <c r="P91" s="30"/>
      <c r="Q91" s="30"/>
    </row>
    <row r="92" spans="2:17" x14ac:dyDescent="0.3">
      <c r="B92" s="29"/>
      <c r="C92" s="29"/>
      <c r="D92" s="67"/>
      <c r="E92" s="29"/>
      <c r="F92" s="29"/>
      <c r="G92" s="67"/>
      <c r="H92" s="29"/>
      <c r="I92" s="30"/>
      <c r="J92" s="30"/>
      <c r="K92" s="30"/>
      <c r="L92" s="30"/>
      <c r="M92" s="30"/>
      <c r="N92" s="30"/>
      <c r="O92" s="30"/>
      <c r="P92" s="30"/>
      <c r="Q92" s="30"/>
    </row>
    <row r="93" spans="2:17" x14ac:dyDescent="0.3">
      <c r="B93" s="29"/>
      <c r="C93" s="29"/>
      <c r="D93" s="67"/>
      <c r="E93" s="29"/>
      <c r="F93" s="29"/>
      <c r="G93" s="67"/>
      <c r="H93" s="29"/>
      <c r="I93" s="30"/>
      <c r="J93" s="30"/>
      <c r="K93" s="30"/>
      <c r="L93" s="30"/>
      <c r="M93" s="30"/>
      <c r="N93" s="30"/>
      <c r="O93" s="30"/>
      <c r="P93" s="30"/>
      <c r="Q93" s="30"/>
    </row>
    <row r="94" spans="2:17" x14ac:dyDescent="0.3">
      <c r="B94" s="29"/>
      <c r="C94" s="29"/>
      <c r="D94" s="67"/>
      <c r="E94" s="29"/>
      <c r="F94" s="29"/>
      <c r="G94" s="67"/>
      <c r="H94" s="29"/>
      <c r="I94" s="30"/>
      <c r="J94" s="30"/>
      <c r="K94" s="30"/>
      <c r="L94" s="30"/>
      <c r="M94" s="30"/>
      <c r="N94" s="30"/>
      <c r="O94" s="30"/>
      <c r="P94" s="30"/>
      <c r="Q94" s="30"/>
    </row>
    <row r="95" spans="2:17" x14ac:dyDescent="0.3">
      <c r="B95" s="29"/>
      <c r="C95" s="29"/>
      <c r="D95" s="67"/>
      <c r="E95" s="29"/>
      <c r="F95" s="29"/>
      <c r="G95" s="67"/>
      <c r="H95" s="29"/>
      <c r="I95" s="30"/>
      <c r="J95" s="30"/>
      <c r="K95" s="30"/>
      <c r="L95" s="30"/>
      <c r="M95" s="30"/>
      <c r="N95" s="30"/>
      <c r="O95" s="30"/>
      <c r="P95" s="30"/>
      <c r="Q95" s="30"/>
    </row>
    <row r="96" spans="2:17" x14ac:dyDescent="0.3">
      <c r="B96" s="29"/>
      <c r="C96" s="29"/>
      <c r="D96" s="67"/>
      <c r="E96" s="29"/>
      <c r="F96" s="29"/>
      <c r="G96" s="67"/>
      <c r="H96" s="29"/>
      <c r="I96" s="30"/>
      <c r="J96" s="30"/>
      <c r="K96" s="30"/>
      <c r="L96" s="30"/>
      <c r="M96" s="30"/>
      <c r="N96" s="30"/>
      <c r="O96" s="30"/>
      <c r="P96" s="30"/>
      <c r="Q96" s="30"/>
    </row>
    <row r="97" spans="2:17" x14ac:dyDescent="0.3">
      <c r="B97" s="29"/>
      <c r="C97" s="29"/>
      <c r="D97" s="67"/>
      <c r="E97" s="29"/>
      <c r="F97" s="29"/>
      <c r="G97" s="67"/>
      <c r="H97" s="29"/>
      <c r="I97" s="30"/>
      <c r="J97" s="30"/>
      <c r="K97" s="30"/>
      <c r="L97" s="30"/>
      <c r="M97" s="30"/>
      <c r="N97" s="30"/>
      <c r="O97" s="30"/>
      <c r="P97" s="30"/>
      <c r="Q97" s="30"/>
    </row>
    <row r="98" spans="2:17" x14ac:dyDescent="0.3">
      <c r="B98" s="29"/>
      <c r="C98" s="29"/>
      <c r="D98" s="67"/>
      <c r="E98" s="29"/>
      <c r="F98" s="29"/>
      <c r="G98" s="67"/>
      <c r="H98" s="29"/>
      <c r="I98" s="30"/>
      <c r="J98" s="30"/>
      <c r="K98" s="30"/>
      <c r="L98" s="30"/>
      <c r="M98" s="30"/>
      <c r="N98" s="30"/>
      <c r="O98" s="30"/>
      <c r="P98" s="30"/>
      <c r="Q98" s="30"/>
    </row>
    <row r="99" spans="2:17" x14ac:dyDescent="0.3">
      <c r="B99" s="29"/>
      <c r="C99" s="29"/>
      <c r="D99" s="67"/>
      <c r="E99" s="29"/>
      <c r="F99" s="29"/>
      <c r="G99" s="67"/>
      <c r="H99" s="29"/>
      <c r="I99" s="30"/>
      <c r="J99" s="30"/>
      <c r="K99" s="30"/>
      <c r="L99" s="30"/>
      <c r="M99" s="30"/>
      <c r="N99" s="30"/>
      <c r="O99" s="30"/>
      <c r="P99" s="30"/>
      <c r="Q99" s="30"/>
    </row>
    <row r="100" spans="2:17" x14ac:dyDescent="0.3">
      <c r="B100" s="29"/>
      <c r="C100" s="29"/>
      <c r="D100" s="67"/>
      <c r="E100" s="29"/>
      <c r="F100" s="29"/>
      <c r="G100" s="67"/>
      <c r="H100" s="29"/>
      <c r="I100" s="30"/>
      <c r="J100" s="30"/>
      <c r="K100" s="30"/>
      <c r="L100" s="30"/>
      <c r="M100" s="30"/>
      <c r="N100" s="30"/>
      <c r="O100" s="30"/>
      <c r="P100" s="30"/>
      <c r="Q100" s="30"/>
    </row>
    <row r="101" spans="2:17" x14ac:dyDescent="0.3">
      <c r="B101" s="29"/>
      <c r="C101" s="29"/>
      <c r="D101" s="67"/>
      <c r="E101" s="29"/>
      <c r="F101" s="29"/>
      <c r="G101" s="67"/>
      <c r="H101" s="29"/>
      <c r="I101" s="30"/>
      <c r="J101" s="30"/>
      <c r="K101" s="30"/>
      <c r="L101" s="30"/>
      <c r="M101" s="30"/>
      <c r="N101" s="30"/>
      <c r="O101" s="30"/>
      <c r="P101" s="30"/>
      <c r="Q101" s="30"/>
    </row>
    <row r="102" spans="2:17" x14ac:dyDescent="0.3">
      <c r="B102" s="29"/>
      <c r="C102" s="29"/>
      <c r="D102" s="67"/>
      <c r="E102" s="29"/>
      <c r="F102" s="29"/>
      <c r="G102" s="67"/>
      <c r="H102" s="29"/>
      <c r="I102" s="30"/>
      <c r="J102" s="30"/>
      <c r="K102" s="30"/>
      <c r="L102" s="30"/>
      <c r="M102" s="30"/>
      <c r="N102" s="30"/>
      <c r="O102" s="30"/>
      <c r="P102" s="30"/>
      <c r="Q102" s="30"/>
    </row>
    <row r="103" spans="2:17" x14ac:dyDescent="0.3">
      <c r="B103" s="29"/>
      <c r="C103" s="29"/>
      <c r="D103" s="67"/>
      <c r="E103" s="29"/>
      <c r="F103" s="29"/>
      <c r="G103" s="67"/>
      <c r="H103" s="29"/>
      <c r="I103" s="30"/>
      <c r="J103" s="30"/>
      <c r="K103" s="30"/>
      <c r="L103" s="30"/>
      <c r="M103" s="30"/>
      <c r="N103" s="30"/>
      <c r="O103" s="30"/>
      <c r="P103" s="30"/>
      <c r="Q103" s="30"/>
    </row>
    <row r="104" spans="2:17" x14ac:dyDescent="0.3">
      <c r="B104" s="29"/>
      <c r="C104" s="29"/>
      <c r="D104" s="67"/>
      <c r="E104" s="29"/>
      <c r="F104" s="29"/>
      <c r="G104" s="67"/>
      <c r="H104" s="29"/>
      <c r="I104" s="30"/>
      <c r="J104" s="30"/>
      <c r="K104" s="30"/>
      <c r="L104" s="30"/>
      <c r="M104" s="30"/>
      <c r="N104" s="30"/>
      <c r="O104" s="30"/>
      <c r="P104" s="30"/>
      <c r="Q104" s="30"/>
    </row>
    <row r="105" spans="2:17" x14ac:dyDescent="0.3">
      <c r="B105" s="29"/>
      <c r="C105" s="29"/>
      <c r="D105" s="67"/>
      <c r="E105" s="29"/>
      <c r="F105" s="29"/>
      <c r="G105" s="67"/>
      <c r="H105" s="29"/>
      <c r="I105" s="30"/>
      <c r="J105" s="30"/>
      <c r="K105" s="30"/>
      <c r="L105" s="30"/>
      <c r="M105" s="30"/>
      <c r="N105" s="30"/>
      <c r="O105" s="30"/>
      <c r="P105" s="30"/>
      <c r="Q105" s="30"/>
    </row>
    <row r="106" spans="2:17" x14ac:dyDescent="0.3">
      <c r="B106" s="29"/>
      <c r="C106" s="29"/>
      <c r="D106" s="67"/>
      <c r="E106" s="29"/>
      <c r="F106" s="29"/>
      <c r="G106" s="67"/>
      <c r="H106" s="29"/>
      <c r="I106" s="30"/>
      <c r="J106" s="30"/>
      <c r="K106" s="30"/>
      <c r="L106" s="30"/>
      <c r="M106" s="30"/>
      <c r="N106" s="30"/>
      <c r="O106" s="30"/>
      <c r="P106" s="30"/>
      <c r="Q106" s="30"/>
    </row>
    <row r="107" spans="2:17" x14ac:dyDescent="0.3">
      <c r="B107" s="29"/>
      <c r="C107" s="29"/>
      <c r="D107" s="67"/>
      <c r="E107" s="29"/>
      <c r="F107" s="29"/>
      <c r="G107" s="67"/>
      <c r="H107" s="29"/>
      <c r="I107" s="30"/>
      <c r="J107" s="30"/>
      <c r="K107" s="30"/>
      <c r="L107" s="30"/>
      <c r="M107" s="30"/>
      <c r="N107" s="30"/>
      <c r="O107" s="30"/>
      <c r="P107" s="30"/>
      <c r="Q107" s="30"/>
    </row>
    <row r="108" spans="2:17" x14ac:dyDescent="0.3">
      <c r="B108" s="29"/>
      <c r="C108" s="29"/>
      <c r="D108" s="67"/>
      <c r="E108" s="29"/>
      <c r="F108" s="29"/>
      <c r="G108" s="67"/>
      <c r="H108" s="29"/>
      <c r="I108" s="30"/>
      <c r="J108" s="30"/>
      <c r="K108" s="30"/>
      <c r="L108" s="30"/>
      <c r="M108" s="30"/>
      <c r="N108" s="30"/>
      <c r="O108" s="30"/>
      <c r="P108" s="30"/>
      <c r="Q108" s="30"/>
    </row>
    <row r="109" spans="2:17" x14ac:dyDescent="0.3">
      <c r="B109" s="29"/>
      <c r="C109" s="29"/>
      <c r="D109" s="67"/>
      <c r="E109" s="29"/>
      <c r="F109" s="29"/>
      <c r="G109" s="67"/>
      <c r="H109" s="29"/>
      <c r="I109" s="30"/>
      <c r="J109" s="30"/>
      <c r="K109" s="30"/>
      <c r="L109" s="30"/>
      <c r="M109" s="30"/>
      <c r="N109" s="30"/>
      <c r="O109" s="30"/>
      <c r="P109" s="30"/>
      <c r="Q109" s="30"/>
    </row>
    <row r="110" spans="2:17" x14ac:dyDescent="0.3">
      <c r="B110" s="29"/>
      <c r="C110" s="29"/>
      <c r="D110" s="67"/>
      <c r="E110" s="29"/>
      <c r="F110" s="29"/>
      <c r="G110" s="67"/>
      <c r="H110" s="29"/>
      <c r="I110" s="30"/>
      <c r="J110" s="30"/>
      <c r="K110" s="30"/>
      <c r="L110" s="30"/>
      <c r="M110" s="30"/>
      <c r="N110" s="30"/>
      <c r="O110" s="30"/>
      <c r="P110" s="30"/>
      <c r="Q110" s="30"/>
    </row>
    <row r="111" spans="2:17" x14ac:dyDescent="0.3">
      <c r="B111" s="29"/>
      <c r="C111" s="29"/>
      <c r="D111" s="67"/>
      <c r="E111" s="29"/>
      <c r="F111" s="29"/>
      <c r="G111" s="67"/>
      <c r="H111" s="29"/>
      <c r="I111" s="30"/>
      <c r="J111" s="30"/>
      <c r="K111" s="30"/>
      <c r="L111" s="30"/>
      <c r="M111" s="30"/>
      <c r="N111" s="30"/>
      <c r="O111" s="30"/>
      <c r="P111" s="30"/>
      <c r="Q111" s="30"/>
    </row>
    <row r="112" spans="2:17" x14ac:dyDescent="0.3">
      <c r="B112" s="29"/>
      <c r="C112" s="29"/>
      <c r="D112" s="67"/>
      <c r="E112" s="29"/>
      <c r="F112" s="29"/>
      <c r="G112" s="67"/>
      <c r="H112" s="29"/>
      <c r="I112" s="30"/>
      <c r="J112" s="30"/>
      <c r="K112" s="30"/>
      <c r="L112" s="30"/>
      <c r="M112" s="30"/>
      <c r="N112" s="30"/>
      <c r="O112" s="30"/>
      <c r="P112" s="30"/>
      <c r="Q112" s="30"/>
    </row>
    <row r="113" spans="2:17" x14ac:dyDescent="0.3">
      <c r="B113" s="29"/>
      <c r="C113" s="29"/>
      <c r="D113" s="67"/>
      <c r="E113" s="29"/>
      <c r="F113" s="29"/>
      <c r="G113" s="67"/>
      <c r="H113" s="29"/>
      <c r="I113" s="30"/>
      <c r="J113" s="30"/>
      <c r="K113" s="30"/>
      <c r="L113" s="30"/>
      <c r="M113" s="30"/>
      <c r="N113" s="30"/>
      <c r="O113" s="30"/>
      <c r="P113" s="30"/>
      <c r="Q113" s="30"/>
    </row>
    <row r="114" spans="2:17" x14ac:dyDescent="0.3">
      <c r="B114" s="29"/>
      <c r="C114" s="29"/>
      <c r="D114" s="67"/>
      <c r="E114" s="29"/>
      <c r="F114" s="29"/>
      <c r="G114" s="67"/>
      <c r="H114" s="29"/>
      <c r="I114" s="30"/>
      <c r="J114" s="30"/>
      <c r="K114" s="30"/>
      <c r="L114" s="30"/>
      <c r="M114" s="30"/>
      <c r="N114" s="30"/>
      <c r="O114" s="30"/>
      <c r="P114" s="30"/>
      <c r="Q114" s="30"/>
    </row>
    <row r="115" spans="2:17" x14ac:dyDescent="0.3">
      <c r="B115" s="29"/>
      <c r="C115" s="29"/>
      <c r="D115" s="67"/>
      <c r="E115" s="29"/>
      <c r="F115" s="29"/>
      <c r="G115" s="67"/>
      <c r="H115" s="29"/>
      <c r="I115" s="30"/>
      <c r="J115" s="30"/>
      <c r="K115" s="30"/>
      <c r="L115" s="30"/>
      <c r="M115" s="30"/>
      <c r="N115" s="30"/>
      <c r="O115" s="30"/>
      <c r="P115" s="30"/>
      <c r="Q115" s="30"/>
    </row>
    <row r="116" spans="2:17" x14ac:dyDescent="0.3">
      <c r="B116" s="29"/>
      <c r="C116" s="29"/>
      <c r="D116" s="67"/>
      <c r="E116" s="29"/>
      <c r="F116" s="29"/>
      <c r="G116" s="67"/>
      <c r="H116" s="29"/>
      <c r="I116" s="30"/>
      <c r="J116" s="30"/>
      <c r="K116" s="30"/>
      <c r="L116" s="30"/>
      <c r="M116" s="30"/>
      <c r="N116" s="30"/>
      <c r="O116" s="30"/>
      <c r="P116" s="30"/>
      <c r="Q116" s="30"/>
    </row>
    <row r="117" spans="2:17" x14ac:dyDescent="0.3">
      <c r="B117" s="29"/>
      <c r="C117" s="29"/>
      <c r="D117" s="67"/>
      <c r="E117" s="29"/>
      <c r="F117" s="29"/>
      <c r="G117" s="67"/>
      <c r="H117" s="29"/>
      <c r="I117" s="30"/>
      <c r="J117" s="30"/>
      <c r="K117" s="30"/>
      <c r="L117" s="30"/>
      <c r="M117" s="30"/>
      <c r="N117" s="30"/>
      <c r="O117" s="30"/>
      <c r="P117" s="30"/>
      <c r="Q117" s="30"/>
    </row>
    <row r="118" spans="2:17" x14ac:dyDescent="0.3">
      <c r="B118" s="29"/>
      <c r="C118" s="29"/>
      <c r="D118" s="67"/>
      <c r="E118" s="29"/>
      <c r="F118" s="29"/>
      <c r="G118" s="67"/>
      <c r="H118" s="29"/>
      <c r="I118" s="30"/>
      <c r="J118" s="30"/>
      <c r="K118" s="30"/>
      <c r="L118" s="30"/>
      <c r="M118" s="30"/>
      <c r="N118" s="30"/>
      <c r="O118" s="30"/>
      <c r="P118" s="30"/>
      <c r="Q118" s="30"/>
    </row>
    <row r="119" spans="2:17" x14ac:dyDescent="0.3">
      <c r="B119" s="29"/>
      <c r="C119" s="29"/>
      <c r="D119" s="67"/>
      <c r="E119" s="29"/>
      <c r="F119" s="29"/>
      <c r="G119" s="67"/>
      <c r="H119" s="29"/>
      <c r="I119" s="30"/>
      <c r="J119" s="30"/>
      <c r="K119" s="30"/>
      <c r="L119" s="30"/>
      <c r="M119" s="30"/>
      <c r="N119" s="30"/>
      <c r="O119" s="30"/>
      <c r="P119" s="30"/>
      <c r="Q119" s="30"/>
    </row>
    <row r="120" spans="2:17" x14ac:dyDescent="0.3">
      <c r="B120" s="29"/>
      <c r="C120" s="29"/>
      <c r="D120" s="67"/>
      <c r="E120" s="29"/>
      <c r="F120" s="29"/>
      <c r="G120" s="67"/>
      <c r="H120" s="29"/>
      <c r="I120" s="30"/>
      <c r="J120" s="30"/>
      <c r="K120" s="30"/>
      <c r="L120" s="30"/>
      <c r="M120" s="30"/>
      <c r="N120" s="30"/>
      <c r="O120" s="30"/>
      <c r="P120" s="30"/>
      <c r="Q120" s="30"/>
    </row>
    <row r="121" spans="2:17" x14ac:dyDescent="0.3">
      <c r="B121" s="29"/>
      <c r="C121" s="29"/>
      <c r="D121" s="67"/>
      <c r="E121" s="29"/>
      <c r="F121" s="29"/>
      <c r="G121" s="67"/>
      <c r="H121" s="29"/>
      <c r="I121" s="30"/>
      <c r="J121" s="30"/>
      <c r="K121" s="30"/>
      <c r="L121" s="30"/>
      <c r="M121" s="30"/>
      <c r="N121" s="30"/>
      <c r="O121" s="30"/>
      <c r="P121" s="30"/>
      <c r="Q121" s="30"/>
    </row>
    <row r="122" spans="2:17" x14ac:dyDescent="0.3">
      <c r="B122" s="29"/>
      <c r="C122" s="29"/>
      <c r="D122" s="67"/>
      <c r="E122" s="29"/>
      <c r="F122" s="29"/>
      <c r="G122" s="67"/>
      <c r="H122" s="29"/>
      <c r="I122" s="30"/>
      <c r="J122" s="30"/>
      <c r="K122" s="30"/>
      <c r="L122" s="30"/>
      <c r="M122" s="30"/>
      <c r="N122" s="30"/>
      <c r="O122" s="30"/>
      <c r="P122" s="30"/>
      <c r="Q122" s="30"/>
    </row>
    <row r="123" spans="2:17" x14ac:dyDescent="0.3">
      <c r="B123" s="29"/>
      <c r="C123" s="29"/>
      <c r="D123" s="67"/>
      <c r="E123" s="29"/>
      <c r="F123" s="29"/>
      <c r="G123" s="67"/>
      <c r="H123" s="29"/>
      <c r="I123" s="30"/>
      <c r="J123" s="30"/>
      <c r="K123" s="30"/>
      <c r="L123" s="30"/>
      <c r="M123" s="30"/>
      <c r="N123" s="30"/>
      <c r="O123" s="30"/>
      <c r="P123" s="30"/>
      <c r="Q123" s="30"/>
    </row>
    <row r="124" spans="2:17" x14ac:dyDescent="0.3">
      <c r="B124" s="29"/>
      <c r="C124" s="29"/>
      <c r="D124" s="67"/>
      <c r="E124" s="29"/>
      <c r="F124" s="29"/>
      <c r="G124" s="67"/>
      <c r="H124" s="29"/>
      <c r="I124" s="30"/>
      <c r="J124" s="30"/>
      <c r="K124" s="30"/>
      <c r="L124" s="30"/>
      <c r="M124" s="30"/>
      <c r="N124" s="30"/>
      <c r="O124" s="30"/>
      <c r="P124" s="30"/>
      <c r="Q124" s="30"/>
    </row>
    <row r="125" spans="2:17" x14ac:dyDescent="0.3">
      <c r="B125" s="29"/>
      <c r="C125" s="29"/>
      <c r="D125" s="67"/>
      <c r="E125" s="29"/>
      <c r="F125" s="29"/>
      <c r="G125" s="67"/>
      <c r="H125" s="29"/>
      <c r="I125" s="30"/>
      <c r="J125" s="30"/>
      <c r="K125" s="30"/>
      <c r="L125" s="30"/>
      <c r="M125" s="30"/>
      <c r="N125" s="30"/>
      <c r="O125" s="30"/>
      <c r="P125" s="30"/>
      <c r="Q125" s="30"/>
    </row>
    <row r="126" spans="2:17" x14ac:dyDescent="0.3">
      <c r="B126" s="29"/>
      <c r="C126" s="29"/>
      <c r="D126" s="67"/>
      <c r="E126" s="29"/>
      <c r="F126" s="29"/>
      <c r="G126" s="67"/>
      <c r="H126" s="29"/>
      <c r="I126" s="30"/>
      <c r="J126" s="30"/>
      <c r="K126" s="30"/>
      <c r="L126" s="30"/>
      <c r="M126" s="30"/>
      <c r="N126" s="30"/>
      <c r="O126" s="30"/>
      <c r="P126" s="30"/>
      <c r="Q126" s="30"/>
    </row>
    <row r="127" spans="2:17" x14ac:dyDescent="0.3">
      <c r="B127" s="29"/>
      <c r="C127" s="29"/>
      <c r="D127" s="67"/>
      <c r="E127" s="29"/>
      <c r="F127" s="29"/>
      <c r="G127" s="67"/>
      <c r="H127" s="29"/>
      <c r="I127" s="30"/>
      <c r="J127" s="30"/>
      <c r="K127" s="30"/>
      <c r="L127" s="30"/>
      <c r="M127" s="30"/>
      <c r="N127" s="30"/>
      <c r="O127" s="30"/>
      <c r="P127" s="30"/>
      <c r="Q127" s="30"/>
    </row>
    <row r="128" spans="2:17" x14ac:dyDescent="0.3">
      <c r="B128" s="29"/>
      <c r="C128" s="29"/>
      <c r="D128" s="67"/>
      <c r="E128" s="29"/>
      <c r="F128" s="29"/>
      <c r="G128" s="67"/>
      <c r="H128" s="29"/>
      <c r="I128" s="30"/>
      <c r="J128" s="30"/>
      <c r="K128" s="30"/>
      <c r="L128" s="30"/>
      <c r="M128" s="30"/>
      <c r="N128" s="30"/>
      <c r="O128" s="30"/>
      <c r="P128" s="30"/>
      <c r="Q128" s="30"/>
    </row>
    <row r="129" spans="2:17" x14ac:dyDescent="0.3">
      <c r="B129" s="29"/>
      <c r="C129" s="29"/>
      <c r="D129" s="67"/>
      <c r="E129" s="29"/>
      <c r="F129" s="29"/>
      <c r="G129" s="67"/>
      <c r="H129" s="29"/>
      <c r="I129" s="30"/>
      <c r="J129" s="30"/>
      <c r="K129" s="30"/>
      <c r="L129" s="30"/>
      <c r="M129" s="30"/>
      <c r="N129" s="30"/>
      <c r="O129" s="30"/>
      <c r="P129" s="30"/>
      <c r="Q129" s="30"/>
    </row>
    <row r="130" spans="2:17" x14ac:dyDescent="0.3">
      <c r="B130" s="29"/>
      <c r="C130" s="29"/>
      <c r="D130" s="67"/>
      <c r="E130" s="29"/>
      <c r="F130" s="29"/>
      <c r="G130" s="67"/>
      <c r="H130" s="29"/>
      <c r="I130" s="30"/>
      <c r="J130" s="30"/>
      <c r="K130" s="30"/>
      <c r="L130" s="30"/>
      <c r="M130" s="30"/>
      <c r="N130" s="30"/>
      <c r="O130" s="30"/>
      <c r="P130" s="30"/>
      <c r="Q130" s="30"/>
    </row>
    <row r="131" spans="2:17" x14ac:dyDescent="0.3">
      <c r="B131" s="29"/>
      <c r="C131" s="29"/>
      <c r="D131" s="67"/>
      <c r="E131" s="29"/>
      <c r="F131" s="29"/>
      <c r="G131" s="67"/>
      <c r="H131" s="29"/>
      <c r="I131" s="30"/>
      <c r="J131" s="30"/>
      <c r="K131" s="30"/>
      <c r="L131" s="30"/>
      <c r="M131" s="30"/>
      <c r="N131" s="30"/>
      <c r="O131" s="30"/>
      <c r="P131" s="30"/>
      <c r="Q131" s="30"/>
    </row>
    <row r="132" spans="2:17" x14ac:dyDescent="0.3">
      <c r="B132" s="29"/>
      <c r="C132" s="29"/>
      <c r="D132" s="67"/>
      <c r="E132" s="29"/>
      <c r="F132" s="29"/>
      <c r="G132" s="67"/>
      <c r="H132" s="29"/>
      <c r="I132" s="30"/>
      <c r="J132" s="30"/>
      <c r="K132" s="30"/>
      <c r="L132" s="30"/>
      <c r="M132" s="30"/>
      <c r="N132" s="30"/>
      <c r="O132" s="30"/>
      <c r="P132" s="30"/>
      <c r="Q132" s="30"/>
    </row>
    <row r="133" spans="2:17" x14ac:dyDescent="0.3">
      <c r="B133" s="29"/>
      <c r="C133" s="29"/>
      <c r="D133" s="67"/>
      <c r="E133" s="29"/>
      <c r="F133" s="29"/>
      <c r="G133" s="67"/>
      <c r="H133" s="29"/>
      <c r="I133" s="30"/>
      <c r="J133" s="30"/>
      <c r="K133" s="30"/>
      <c r="L133" s="30"/>
      <c r="M133" s="30"/>
      <c r="N133" s="30"/>
      <c r="O133" s="30"/>
      <c r="P133" s="30"/>
      <c r="Q133" s="30"/>
    </row>
    <row r="134" spans="2:17" x14ac:dyDescent="0.3">
      <c r="B134" s="29"/>
      <c r="C134" s="29"/>
      <c r="D134" s="67"/>
      <c r="E134" s="29"/>
      <c r="F134" s="29"/>
      <c r="G134" s="67"/>
      <c r="H134" s="29"/>
      <c r="I134" s="30"/>
      <c r="J134" s="30"/>
      <c r="K134" s="30"/>
      <c r="L134" s="30"/>
      <c r="M134" s="30"/>
      <c r="N134" s="30"/>
      <c r="O134" s="30"/>
      <c r="P134" s="30"/>
      <c r="Q134" s="30"/>
    </row>
    <row r="135" spans="2:17" x14ac:dyDescent="0.3">
      <c r="B135" s="29"/>
      <c r="C135" s="29"/>
      <c r="D135" s="67"/>
      <c r="E135" s="29"/>
      <c r="F135" s="29"/>
      <c r="G135" s="67"/>
      <c r="H135" s="29"/>
      <c r="I135" s="30"/>
      <c r="J135" s="30"/>
      <c r="K135" s="30"/>
      <c r="L135" s="30"/>
      <c r="M135" s="30"/>
      <c r="N135" s="30"/>
      <c r="O135" s="30"/>
      <c r="P135" s="30"/>
      <c r="Q135" s="30"/>
    </row>
    <row r="136" spans="2:17" x14ac:dyDescent="0.3">
      <c r="B136" s="29"/>
      <c r="C136" s="29"/>
      <c r="D136" s="67"/>
      <c r="E136" s="29"/>
      <c r="F136" s="29"/>
      <c r="G136" s="67"/>
      <c r="H136" s="29"/>
      <c r="I136" s="30"/>
      <c r="J136" s="30"/>
      <c r="K136" s="30"/>
      <c r="L136" s="30"/>
      <c r="M136" s="30"/>
      <c r="N136" s="30"/>
      <c r="O136" s="30"/>
      <c r="P136" s="30"/>
      <c r="Q136" s="30"/>
    </row>
    <row r="137" spans="2:17" x14ac:dyDescent="0.3">
      <c r="B137" s="29"/>
      <c r="C137" s="29"/>
      <c r="D137" s="67"/>
      <c r="E137" s="29"/>
      <c r="F137" s="29"/>
      <c r="G137" s="67"/>
      <c r="H137" s="29"/>
      <c r="I137" s="30"/>
      <c r="J137" s="30"/>
      <c r="K137" s="30"/>
      <c r="L137" s="30"/>
      <c r="M137" s="30"/>
      <c r="N137" s="30"/>
      <c r="O137" s="30"/>
      <c r="P137" s="30"/>
      <c r="Q137" s="30"/>
    </row>
    <row r="138" spans="2:17" x14ac:dyDescent="0.3">
      <c r="B138" s="29"/>
      <c r="C138" s="29"/>
      <c r="D138" s="67"/>
      <c r="E138" s="29"/>
      <c r="F138" s="29"/>
      <c r="G138" s="67"/>
      <c r="H138" s="29"/>
      <c r="I138" s="30"/>
      <c r="J138" s="30"/>
      <c r="K138" s="30"/>
      <c r="L138" s="30"/>
      <c r="M138" s="30"/>
      <c r="N138" s="30"/>
      <c r="O138" s="30"/>
      <c r="P138" s="30"/>
      <c r="Q138" s="30"/>
    </row>
    <row r="139" spans="2:17" x14ac:dyDescent="0.3">
      <c r="B139" s="29"/>
      <c r="C139" s="29"/>
      <c r="D139" s="67"/>
      <c r="E139" s="29"/>
      <c r="F139" s="29"/>
      <c r="G139" s="67"/>
      <c r="H139" s="29"/>
      <c r="I139" s="30"/>
      <c r="J139" s="30"/>
      <c r="K139" s="30"/>
      <c r="L139" s="30"/>
      <c r="M139" s="30"/>
      <c r="N139" s="30"/>
      <c r="O139" s="30"/>
      <c r="P139" s="30"/>
      <c r="Q139" s="30"/>
    </row>
    <row r="140" spans="2:17" x14ac:dyDescent="0.3">
      <c r="B140" s="29"/>
      <c r="C140" s="29"/>
      <c r="D140" s="67"/>
      <c r="E140" s="29"/>
      <c r="F140" s="29"/>
      <c r="G140" s="67"/>
      <c r="H140" s="29"/>
      <c r="I140" s="30"/>
      <c r="J140" s="30"/>
      <c r="K140" s="30"/>
      <c r="L140" s="30"/>
      <c r="M140" s="30"/>
      <c r="N140" s="30"/>
      <c r="O140" s="30"/>
      <c r="P140" s="30"/>
      <c r="Q140" s="30"/>
    </row>
    <row r="141" spans="2:17" x14ac:dyDescent="0.3">
      <c r="B141" s="29"/>
      <c r="C141" s="29"/>
      <c r="D141" s="67"/>
      <c r="E141" s="29"/>
      <c r="F141" s="29"/>
      <c r="G141" s="67"/>
      <c r="H141" s="29"/>
      <c r="I141" s="30"/>
      <c r="J141" s="30"/>
      <c r="K141" s="30"/>
      <c r="L141" s="30"/>
      <c r="M141" s="30"/>
      <c r="N141" s="30"/>
      <c r="O141" s="30"/>
      <c r="P141" s="30"/>
      <c r="Q141" s="30"/>
    </row>
    <row r="142" spans="2:17" x14ac:dyDescent="0.3">
      <c r="B142" s="29"/>
      <c r="C142" s="29"/>
      <c r="D142" s="67"/>
      <c r="E142" s="29"/>
      <c r="F142" s="29"/>
      <c r="G142" s="67"/>
      <c r="H142" s="29"/>
      <c r="I142" s="30"/>
      <c r="J142" s="30"/>
      <c r="K142" s="30"/>
      <c r="L142" s="30"/>
      <c r="M142" s="30"/>
      <c r="N142" s="30"/>
      <c r="O142" s="30"/>
      <c r="P142" s="30"/>
      <c r="Q142" s="30"/>
    </row>
    <row r="143" spans="2:17" x14ac:dyDescent="0.3">
      <c r="B143" s="29"/>
      <c r="C143" s="29"/>
      <c r="D143" s="67"/>
      <c r="E143" s="29"/>
      <c r="F143" s="29"/>
      <c r="G143" s="67"/>
      <c r="H143" s="29"/>
      <c r="I143" s="30"/>
      <c r="J143" s="30"/>
      <c r="K143" s="30"/>
      <c r="L143" s="30"/>
      <c r="M143" s="30"/>
      <c r="N143" s="30"/>
      <c r="O143" s="30"/>
      <c r="P143" s="30"/>
      <c r="Q143" s="30"/>
    </row>
    <row r="144" spans="2:17" x14ac:dyDescent="0.3">
      <c r="B144" s="29"/>
      <c r="C144" s="29"/>
      <c r="D144" s="67"/>
      <c r="E144" s="29"/>
      <c r="F144" s="29"/>
      <c r="G144" s="67"/>
      <c r="H144" s="29"/>
      <c r="I144" s="30"/>
      <c r="J144" s="30"/>
      <c r="K144" s="30"/>
      <c r="L144" s="30"/>
      <c r="M144" s="30"/>
      <c r="N144" s="30"/>
      <c r="O144" s="30"/>
      <c r="P144" s="30"/>
      <c r="Q144" s="30"/>
    </row>
    <row r="145" spans="2:17" x14ac:dyDescent="0.3">
      <c r="B145" s="29"/>
      <c r="C145" s="29"/>
      <c r="D145" s="67"/>
      <c r="E145" s="29"/>
      <c r="F145" s="29"/>
      <c r="G145" s="67"/>
      <c r="H145" s="29"/>
      <c r="I145" s="30"/>
      <c r="J145" s="30"/>
      <c r="K145" s="30"/>
      <c r="L145" s="30"/>
      <c r="M145" s="30"/>
      <c r="N145" s="30"/>
      <c r="O145" s="30"/>
      <c r="P145" s="30"/>
      <c r="Q145" s="30"/>
    </row>
    <row r="146" spans="2:17" x14ac:dyDescent="0.3">
      <c r="B146" s="29"/>
      <c r="C146" s="29"/>
      <c r="D146" s="67"/>
      <c r="E146" s="29"/>
      <c r="F146" s="29"/>
      <c r="G146" s="67"/>
      <c r="H146" s="29"/>
      <c r="I146" s="30"/>
      <c r="J146" s="30"/>
      <c r="K146" s="30"/>
      <c r="L146" s="30"/>
      <c r="M146" s="30"/>
      <c r="N146" s="30"/>
      <c r="O146" s="30"/>
      <c r="P146" s="30"/>
      <c r="Q146" s="30"/>
    </row>
    <row r="147" spans="2:17" x14ac:dyDescent="0.3">
      <c r="B147" s="29"/>
      <c r="C147" s="29"/>
      <c r="D147" s="67"/>
      <c r="E147" s="29"/>
      <c r="F147" s="29"/>
      <c r="G147" s="67"/>
      <c r="H147" s="29"/>
      <c r="I147" s="30"/>
      <c r="J147" s="30"/>
      <c r="K147" s="30"/>
      <c r="L147" s="30"/>
      <c r="M147" s="30"/>
      <c r="N147" s="30"/>
      <c r="O147" s="30"/>
      <c r="P147" s="30"/>
      <c r="Q147" s="30"/>
    </row>
    <row r="148" spans="2:17" x14ac:dyDescent="0.3">
      <c r="B148" s="29"/>
      <c r="C148" s="29"/>
      <c r="D148" s="67"/>
      <c r="E148" s="29"/>
      <c r="F148" s="29"/>
      <c r="G148" s="67"/>
      <c r="H148" s="29"/>
      <c r="I148" s="30"/>
      <c r="J148" s="30"/>
      <c r="K148" s="30"/>
      <c r="L148" s="30"/>
      <c r="M148" s="30"/>
      <c r="N148" s="30"/>
      <c r="O148" s="30"/>
      <c r="P148" s="30"/>
      <c r="Q148" s="30"/>
    </row>
    <row r="149" spans="2:17" x14ac:dyDescent="0.3">
      <c r="B149" s="29"/>
      <c r="C149" s="29"/>
      <c r="D149" s="67"/>
      <c r="E149" s="29"/>
      <c r="F149" s="29"/>
      <c r="G149" s="67"/>
      <c r="H149" s="29"/>
      <c r="I149" s="30"/>
      <c r="J149" s="30"/>
      <c r="K149" s="30"/>
      <c r="L149" s="30"/>
      <c r="M149" s="30"/>
      <c r="N149" s="30"/>
      <c r="O149" s="30"/>
      <c r="P149" s="30"/>
      <c r="Q149" s="30"/>
    </row>
    <row r="150" spans="2:17" x14ac:dyDescent="0.3">
      <c r="B150" s="29"/>
      <c r="C150" s="29"/>
      <c r="D150" s="67"/>
      <c r="E150" s="29"/>
      <c r="F150" s="29"/>
      <c r="G150" s="67"/>
      <c r="H150" s="29"/>
      <c r="I150" s="30"/>
      <c r="J150" s="30"/>
      <c r="K150" s="30"/>
      <c r="L150" s="30"/>
      <c r="M150" s="30"/>
      <c r="N150" s="30"/>
      <c r="O150" s="30"/>
      <c r="P150" s="30"/>
      <c r="Q150" s="30"/>
    </row>
    <row r="151" spans="2:17" x14ac:dyDescent="0.3">
      <c r="B151" s="29"/>
      <c r="C151" s="29"/>
      <c r="D151" s="67"/>
      <c r="E151" s="29"/>
      <c r="F151" s="29"/>
      <c r="G151" s="67"/>
      <c r="H151" s="29"/>
      <c r="I151" s="30"/>
      <c r="J151" s="30"/>
      <c r="K151" s="30"/>
      <c r="L151" s="30"/>
      <c r="M151" s="30"/>
      <c r="N151" s="30"/>
      <c r="O151" s="30"/>
      <c r="P151" s="30"/>
      <c r="Q151" s="30"/>
    </row>
    <row r="152" spans="2:17" x14ac:dyDescent="0.3">
      <c r="B152" s="29"/>
      <c r="C152" s="29"/>
      <c r="D152" s="67"/>
      <c r="E152" s="29"/>
      <c r="F152" s="29"/>
      <c r="G152" s="67"/>
      <c r="H152" s="29"/>
      <c r="I152" s="30"/>
      <c r="J152" s="30"/>
      <c r="K152" s="30"/>
      <c r="L152" s="30"/>
      <c r="M152" s="30"/>
      <c r="N152" s="30"/>
      <c r="O152" s="30"/>
      <c r="P152" s="30"/>
      <c r="Q152" s="30"/>
    </row>
    <row r="153" spans="2:17" x14ac:dyDescent="0.3">
      <c r="B153" s="29"/>
      <c r="C153" s="29"/>
      <c r="D153" s="67"/>
      <c r="E153" s="29"/>
      <c r="F153" s="29"/>
      <c r="G153" s="67"/>
      <c r="H153" s="29"/>
      <c r="I153" s="30"/>
      <c r="J153" s="30"/>
      <c r="K153" s="30"/>
      <c r="L153" s="30"/>
      <c r="M153" s="30"/>
      <c r="N153" s="30"/>
      <c r="O153" s="30"/>
      <c r="P153" s="30"/>
      <c r="Q153" s="30"/>
    </row>
    <row r="154" spans="2:17" x14ac:dyDescent="0.3">
      <c r="B154" s="29"/>
      <c r="C154" s="29"/>
      <c r="D154" s="67"/>
      <c r="E154" s="29"/>
      <c r="F154" s="29"/>
      <c r="G154" s="67"/>
      <c r="H154" s="29"/>
      <c r="I154" s="30"/>
      <c r="J154" s="30"/>
      <c r="K154" s="30"/>
      <c r="L154" s="30"/>
      <c r="M154" s="30"/>
      <c r="N154" s="30"/>
      <c r="O154" s="30"/>
      <c r="P154" s="30"/>
      <c r="Q154" s="30"/>
    </row>
    <row r="155" spans="2:17" x14ac:dyDescent="0.3">
      <c r="B155" s="29"/>
      <c r="C155" s="29"/>
      <c r="D155" s="67"/>
      <c r="E155" s="29"/>
      <c r="F155" s="29"/>
      <c r="G155" s="67"/>
      <c r="H155" s="29"/>
      <c r="I155" s="30"/>
      <c r="J155" s="30"/>
      <c r="K155" s="30"/>
      <c r="L155" s="30"/>
      <c r="M155" s="30"/>
      <c r="N155" s="30"/>
      <c r="O155" s="30"/>
      <c r="P155" s="30"/>
      <c r="Q155" s="30"/>
    </row>
    <row r="156" spans="2:17" x14ac:dyDescent="0.3">
      <c r="B156" s="29"/>
      <c r="C156" s="29"/>
      <c r="D156" s="67"/>
      <c r="E156" s="29"/>
      <c r="F156" s="29"/>
      <c r="G156" s="67"/>
      <c r="H156" s="29"/>
      <c r="I156" s="30"/>
      <c r="J156" s="30"/>
      <c r="K156" s="30"/>
      <c r="L156" s="30"/>
      <c r="M156" s="30"/>
      <c r="N156" s="30"/>
      <c r="O156" s="30"/>
      <c r="P156" s="30"/>
      <c r="Q156" s="30"/>
    </row>
    <row r="157" spans="2:17" x14ac:dyDescent="0.3">
      <c r="B157" s="29"/>
      <c r="C157" s="29"/>
      <c r="D157" s="67"/>
      <c r="E157" s="29"/>
      <c r="F157" s="29"/>
      <c r="G157" s="67"/>
      <c r="H157" s="29"/>
      <c r="I157" s="30"/>
      <c r="J157" s="30"/>
      <c r="K157" s="30"/>
      <c r="L157" s="30"/>
      <c r="M157" s="30"/>
      <c r="N157" s="30"/>
      <c r="O157" s="30"/>
      <c r="P157" s="30"/>
      <c r="Q157" s="30"/>
    </row>
    <row r="158" spans="2:17" x14ac:dyDescent="0.3">
      <c r="B158" s="29"/>
      <c r="C158" s="29"/>
      <c r="D158" s="67"/>
      <c r="E158" s="29"/>
      <c r="F158" s="29"/>
      <c r="G158" s="67"/>
      <c r="H158" s="29"/>
      <c r="I158" s="30"/>
      <c r="J158" s="30"/>
      <c r="K158" s="30"/>
      <c r="L158" s="30"/>
      <c r="M158" s="30"/>
      <c r="N158" s="30"/>
      <c r="O158" s="30"/>
      <c r="P158" s="30"/>
      <c r="Q158" s="30"/>
    </row>
    <row r="159" spans="2:17" x14ac:dyDescent="0.3">
      <c r="B159" s="29"/>
      <c r="C159" s="29"/>
      <c r="D159" s="67"/>
      <c r="E159" s="29"/>
      <c r="F159" s="29"/>
      <c r="G159" s="67"/>
      <c r="H159" s="29"/>
      <c r="I159" s="30"/>
      <c r="J159" s="30"/>
      <c r="K159" s="30"/>
      <c r="L159" s="30"/>
      <c r="M159" s="30"/>
      <c r="N159" s="30"/>
      <c r="O159" s="30"/>
      <c r="P159" s="30"/>
      <c r="Q159" s="30"/>
    </row>
    <row r="160" spans="2:17" x14ac:dyDescent="0.3">
      <c r="B160" s="29"/>
      <c r="C160" s="29"/>
      <c r="D160" s="67"/>
      <c r="E160" s="29"/>
      <c r="F160" s="29"/>
      <c r="G160" s="67"/>
      <c r="H160" s="29"/>
      <c r="I160" s="30"/>
      <c r="J160" s="30"/>
      <c r="K160" s="30"/>
      <c r="L160" s="30"/>
      <c r="M160" s="30"/>
      <c r="N160" s="30"/>
      <c r="O160" s="30"/>
      <c r="P160" s="30"/>
      <c r="Q160" s="30"/>
    </row>
    <row r="161" spans="2:17" x14ac:dyDescent="0.3">
      <c r="B161" s="29"/>
      <c r="C161" s="29"/>
      <c r="D161" s="67"/>
      <c r="E161" s="29"/>
      <c r="F161" s="29"/>
      <c r="G161" s="67"/>
      <c r="H161" s="29"/>
      <c r="I161" s="30"/>
      <c r="J161" s="30"/>
      <c r="K161" s="30"/>
      <c r="L161" s="30"/>
      <c r="M161" s="30"/>
      <c r="N161" s="30"/>
      <c r="O161" s="30"/>
      <c r="P161" s="30"/>
      <c r="Q161" s="30"/>
    </row>
    <row r="162" spans="2:17" x14ac:dyDescent="0.3">
      <c r="B162" s="29"/>
      <c r="C162" s="29"/>
      <c r="D162" s="67"/>
      <c r="E162" s="29"/>
      <c r="F162" s="29"/>
      <c r="G162" s="67"/>
      <c r="H162" s="29"/>
      <c r="I162" s="30"/>
      <c r="J162" s="30"/>
      <c r="K162" s="30"/>
      <c r="L162" s="30"/>
      <c r="M162" s="30"/>
      <c r="N162" s="30"/>
      <c r="O162" s="30"/>
      <c r="P162" s="30"/>
      <c r="Q162" s="30"/>
    </row>
    <row r="163" spans="2:17" x14ac:dyDescent="0.3">
      <c r="B163" s="29"/>
      <c r="C163" s="29"/>
      <c r="D163" s="67"/>
      <c r="E163" s="29"/>
      <c r="F163" s="29"/>
      <c r="G163" s="67"/>
      <c r="H163" s="29"/>
      <c r="I163" s="30"/>
      <c r="J163" s="30"/>
      <c r="K163" s="30"/>
      <c r="L163" s="30"/>
      <c r="M163" s="30"/>
      <c r="N163" s="30"/>
      <c r="O163" s="30"/>
      <c r="P163" s="30"/>
      <c r="Q163" s="30"/>
    </row>
    <row r="164" spans="2:17" x14ac:dyDescent="0.3">
      <c r="B164" s="29"/>
      <c r="C164" s="29"/>
      <c r="D164" s="67"/>
      <c r="E164" s="29"/>
      <c r="F164" s="29"/>
      <c r="G164" s="67"/>
      <c r="H164" s="29"/>
      <c r="I164" s="30"/>
      <c r="J164" s="30"/>
      <c r="K164" s="30"/>
      <c r="L164" s="30"/>
      <c r="M164" s="30"/>
      <c r="N164" s="30"/>
      <c r="O164" s="30"/>
      <c r="P164" s="30"/>
      <c r="Q164" s="30"/>
    </row>
    <row r="165" spans="2:17" x14ac:dyDescent="0.3">
      <c r="B165" s="29"/>
      <c r="C165" s="29"/>
      <c r="D165" s="67"/>
      <c r="E165" s="29"/>
      <c r="F165" s="29"/>
      <c r="G165" s="67"/>
      <c r="H165" s="29"/>
      <c r="I165" s="30"/>
      <c r="J165" s="30"/>
      <c r="K165" s="30"/>
      <c r="L165" s="30"/>
      <c r="M165" s="30"/>
      <c r="N165" s="30"/>
      <c r="O165" s="30"/>
      <c r="P165" s="30"/>
      <c r="Q165" s="30"/>
    </row>
    <row r="166" spans="2:17" x14ac:dyDescent="0.3">
      <c r="B166" s="29"/>
      <c r="C166" s="29"/>
      <c r="D166" s="67"/>
      <c r="E166" s="29"/>
      <c r="F166" s="29"/>
      <c r="G166" s="67"/>
      <c r="H166" s="29"/>
      <c r="I166" s="30"/>
      <c r="J166" s="30"/>
      <c r="K166" s="30"/>
      <c r="L166" s="30"/>
      <c r="M166" s="30"/>
      <c r="N166" s="30"/>
      <c r="O166" s="30"/>
      <c r="P166" s="30"/>
      <c r="Q166" s="30"/>
    </row>
    <row r="167" spans="2:17" x14ac:dyDescent="0.3">
      <c r="B167" s="29"/>
      <c r="C167" s="29"/>
      <c r="D167" s="67"/>
      <c r="E167" s="29"/>
      <c r="F167" s="29"/>
      <c r="G167" s="67"/>
      <c r="H167" s="29"/>
      <c r="I167" s="30"/>
      <c r="J167" s="30"/>
      <c r="K167" s="30"/>
      <c r="L167" s="30"/>
      <c r="M167" s="30"/>
      <c r="N167" s="30"/>
      <c r="O167" s="30"/>
      <c r="P167" s="30"/>
      <c r="Q167" s="30"/>
    </row>
    <row r="168" spans="2:17" x14ac:dyDescent="0.3">
      <c r="B168" s="29"/>
      <c r="C168" s="29"/>
      <c r="D168" s="67"/>
      <c r="E168" s="29"/>
      <c r="F168" s="29"/>
      <c r="G168" s="67"/>
      <c r="H168" s="29"/>
      <c r="I168" s="30"/>
      <c r="J168" s="30"/>
      <c r="K168" s="30"/>
      <c r="L168" s="30"/>
      <c r="M168" s="30"/>
      <c r="N168" s="30"/>
      <c r="O168" s="30"/>
      <c r="P168" s="30"/>
      <c r="Q168" s="30"/>
    </row>
    <row r="169" spans="2:17" x14ac:dyDescent="0.3">
      <c r="B169" s="29"/>
      <c r="C169" s="29"/>
      <c r="D169" s="67"/>
      <c r="E169" s="29"/>
      <c r="F169" s="29"/>
      <c r="G169" s="67"/>
      <c r="H169" s="29"/>
      <c r="I169" s="30"/>
      <c r="J169" s="30"/>
      <c r="K169" s="30"/>
      <c r="L169" s="30"/>
      <c r="M169" s="30"/>
      <c r="N169" s="30"/>
      <c r="O169" s="30"/>
      <c r="P169" s="30"/>
      <c r="Q169" s="30"/>
    </row>
    <row r="170" spans="2:17" x14ac:dyDescent="0.3">
      <c r="B170" s="29"/>
      <c r="C170" s="29"/>
      <c r="D170" s="67"/>
      <c r="E170" s="29"/>
      <c r="F170" s="29"/>
      <c r="G170" s="67"/>
      <c r="H170" s="29"/>
      <c r="I170" s="30"/>
      <c r="J170" s="30"/>
      <c r="K170" s="30"/>
      <c r="L170" s="30"/>
      <c r="M170" s="30"/>
      <c r="N170" s="30"/>
      <c r="O170" s="30"/>
      <c r="P170" s="30"/>
      <c r="Q170" s="30"/>
    </row>
    <row r="171" spans="2:17" x14ac:dyDescent="0.3">
      <c r="B171" s="29"/>
      <c r="C171" s="29"/>
      <c r="D171" s="67"/>
      <c r="E171" s="29"/>
      <c r="F171" s="29"/>
      <c r="G171" s="67"/>
      <c r="H171" s="29"/>
      <c r="I171" s="30"/>
      <c r="J171" s="30"/>
      <c r="K171" s="30"/>
      <c r="L171" s="30"/>
      <c r="M171" s="30"/>
      <c r="N171" s="30"/>
      <c r="O171" s="30"/>
      <c r="P171" s="30"/>
      <c r="Q171" s="30"/>
    </row>
    <row r="172" spans="2:17" x14ac:dyDescent="0.3">
      <c r="B172" s="29"/>
      <c r="C172" s="29"/>
      <c r="D172" s="67"/>
      <c r="E172" s="29"/>
      <c r="F172" s="29"/>
      <c r="G172" s="67"/>
      <c r="H172" s="29"/>
      <c r="I172" s="30"/>
      <c r="J172" s="30"/>
      <c r="K172" s="30"/>
      <c r="L172" s="30"/>
      <c r="M172" s="30"/>
      <c r="N172" s="30"/>
      <c r="O172" s="30"/>
      <c r="P172" s="30"/>
      <c r="Q172" s="30"/>
    </row>
    <row r="173" spans="2:17" x14ac:dyDescent="0.3">
      <c r="B173" s="29"/>
      <c r="C173" s="29"/>
      <c r="D173" s="67"/>
      <c r="E173" s="29"/>
      <c r="F173" s="29"/>
      <c r="G173" s="67"/>
      <c r="H173" s="29"/>
      <c r="I173" s="30"/>
      <c r="J173" s="30"/>
      <c r="K173" s="30"/>
      <c r="L173" s="30"/>
      <c r="M173" s="30"/>
      <c r="N173" s="30"/>
      <c r="O173" s="30"/>
      <c r="P173" s="30"/>
      <c r="Q173" s="30"/>
    </row>
    <row r="174" spans="2:17" x14ac:dyDescent="0.3">
      <c r="B174" s="29"/>
      <c r="C174" s="29"/>
      <c r="D174" s="67"/>
      <c r="E174" s="29"/>
      <c r="F174" s="29"/>
      <c r="G174" s="67"/>
      <c r="H174" s="29"/>
      <c r="I174" s="30"/>
      <c r="J174" s="30"/>
      <c r="K174" s="30"/>
      <c r="L174" s="30"/>
      <c r="M174" s="30"/>
      <c r="N174" s="30"/>
      <c r="O174" s="30"/>
      <c r="P174" s="30"/>
      <c r="Q174" s="30"/>
    </row>
    <row r="175" spans="2:17" x14ac:dyDescent="0.3">
      <c r="B175" s="29"/>
      <c r="C175" s="29"/>
      <c r="D175" s="67"/>
      <c r="E175" s="29"/>
      <c r="F175" s="29"/>
      <c r="G175" s="67"/>
      <c r="H175" s="29"/>
      <c r="I175" s="30"/>
      <c r="J175" s="30"/>
      <c r="K175" s="30"/>
      <c r="L175" s="30"/>
      <c r="M175" s="30"/>
      <c r="N175" s="30"/>
      <c r="O175" s="30"/>
      <c r="P175" s="30"/>
      <c r="Q175" s="30"/>
    </row>
    <row r="176" spans="2:17" x14ac:dyDescent="0.3">
      <c r="B176" s="29"/>
      <c r="C176" s="29"/>
      <c r="D176" s="67"/>
      <c r="E176" s="29"/>
      <c r="F176" s="29"/>
      <c r="G176" s="67"/>
      <c r="H176" s="29"/>
      <c r="I176" s="30"/>
      <c r="J176" s="30"/>
      <c r="K176" s="30"/>
      <c r="L176" s="30"/>
      <c r="M176" s="30"/>
      <c r="N176" s="30"/>
      <c r="O176" s="30"/>
      <c r="P176" s="30"/>
      <c r="Q176" s="30"/>
    </row>
    <row r="177" spans="2:17" x14ac:dyDescent="0.3">
      <c r="B177" s="29"/>
      <c r="C177" s="29"/>
      <c r="D177" s="67"/>
      <c r="E177" s="29"/>
      <c r="F177" s="29"/>
      <c r="G177" s="67"/>
      <c r="H177" s="29"/>
      <c r="I177" s="30"/>
      <c r="J177" s="30"/>
      <c r="K177" s="30"/>
      <c r="L177" s="30"/>
      <c r="M177" s="30"/>
      <c r="N177" s="30"/>
      <c r="O177" s="30"/>
      <c r="P177" s="30"/>
      <c r="Q177" s="30"/>
    </row>
    <row r="178" spans="2:17" x14ac:dyDescent="0.3">
      <c r="B178" s="29"/>
      <c r="C178" s="29"/>
      <c r="D178" s="67"/>
      <c r="E178" s="29"/>
      <c r="F178" s="29"/>
      <c r="G178" s="67"/>
      <c r="H178" s="29"/>
      <c r="I178" s="30"/>
      <c r="J178" s="30"/>
      <c r="K178" s="30"/>
      <c r="L178" s="30"/>
      <c r="M178" s="30"/>
      <c r="N178" s="30"/>
      <c r="O178" s="30"/>
      <c r="P178" s="30"/>
      <c r="Q178" s="30"/>
    </row>
    <row r="179" spans="2:17" x14ac:dyDescent="0.3">
      <c r="B179" s="29"/>
      <c r="C179" s="29"/>
      <c r="D179" s="67"/>
      <c r="E179" s="29"/>
      <c r="F179" s="29"/>
      <c r="G179" s="67"/>
      <c r="H179" s="29"/>
      <c r="I179" s="30"/>
      <c r="J179" s="30"/>
      <c r="K179" s="30"/>
      <c r="L179" s="30"/>
      <c r="M179" s="30"/>
      <c r="N179" s="30"/>
      <c r="O179" s="30"/>
      <c r="P179" s="30"/>
      <c r="Q179" s="30"/>
    </row>
    <row r="180" spans="2:17" x14ac:dyDescent="0.3">
      <c r="B180" s="29"/>
      <c r="C180" s="29"/>
      <c r="D180" s="67"/>
      <c r="E180" s="29"/>
      <c r="F180" s="29"/>
      <c r="G180" s="67"/>
      <c r="H180" s="29"/>
      <c r="I180" s="30"/>
      <c r="J180" s="30"/>
      <c r="K180" s="30"/>
      <c r="L180" s="30"/>
      <c r="M180" s="30"/>
      <c r="N180" s="30"/>
      <c r="O180" s="30"/>
      <c r="P180" s="30"/>
      <c r="Q180" s="30"/>
    </row>
    <row r="181" spans="2:17" x14ac:dyDescent="0.3">
      <c r="B181" s="29"/>
      <c r="C181" s="29"/>
      <c r="D181" s="67"/>
      <c r="E181" s="29"/>
      <c r="F181" s="29"/>
      <c r="G181" s="67"/>
      <c r="H181" s="29"/>
      <c r="I181" s="30"/>
      <c r="J181" s="30"/>
      <c r="K181" s="30"/>
      <c r="L181" s="30"/>
      <c r="M181" s="30"/>
      <c r="N181" s="30"/>
      <c r="O181" s="30"/>
      <c r="P181" s="30"/>
      <c r="Q181" s="30"/>
    </row>
    <row r="182" spans="2:17" x14ac:dyDescent="0.3">
      <c r="B182" s="29"/>
      <c r="C182" s="29"/>
      <c r="D182" s="67"/>
      <c r="E182" s="29"/>
      <c r="F182" s="29"/>
      <c r="G182" s="67"/>
      <c r="H182" s="29"/>
      <c r="I182" s="30"/>
      <c r="J182" s="30"/>
      <c r="K182" s="30"/>
      <c r="L182" s="30"/>
      <c r="M182" s="30"/>
      <c r="N182" s="30"/>
      <c r="O182" s="30"/>
      <c r="P182" s="30"/>
      <c r="Q182" s="30"/>
    </row>
    <row r="183" spans="2:17" x14ac:dyDescent="0.3">
      <c r="B183" s="29"/>
      <c r="C183" s="29"/>
      <c r="D183" s="67"/>
      <c r="E183" s="29"/>
      <c r="F183" s="29"/>
      <c r="G183" s="67"/>
      <c r="H183" s="29"/>
      <c r="I183" s="30"/>
      <c r="J183" s="30"/>
      <c r="K183" s="30"/>
      <c r="L183" s="30"/>
      <c r="M183" s="30"/>
      <c r="N183" s="30"/>
      <c r="O183" s="30"/>
      <c r="P183" s="30"/>
      <c r="Q183" s="30"/>
    </row>
    <row r="184" spans="2:17" x14ac:dyDescent="0.3">
      <c r="B184" s="29"/>
      <c r="C184" s="29"/>
      <c r="D184" s="67"/>
      <c r="E184" s="29"/>
      <c r="F184" s="29"/>
      <c r="G184" s="67"/>
      <c r="H184" s="29"/>
      <c r="I184" s="30"/>
      <c r="J184" s="30"/>
      <c r="K184" s="30"/>
      <c r="L184" s="30"/>
      <c r="M184" s="30"/>
      <c r="N184" s="30"/>
      <c r="O184" s="30"/>
      <c r="P184" s="30"/>
      <c r="Q184" s="30"/>
    </row>
    <row r="185" spans="2:17" x14ac:dyDescent="0.3">
      <c r="B185" s="29"/>
      <c r="C185" s="29"/>
      <c r="D185" s="67"/>
      <c r="E185" s="29"/>
      <c r="F185" s="29"/>
      <c r="G185" s="67"/>
      <c r="H185" s="29"/>
      <c r="I185" s="30"/>
      <c r="J185" s="30"/>
      <c r="K185" s="30"/>
      <c r="L185" s="30"/>
      <c r="M185" s="30"/>
      <c r="N185" s="30"/>
      <c r="O185" s="30"/>
      <c r="P185" s="30"/>
      <c r="Q185" s="30"/>
    </row>
    <row r="186" spans="2:17" x14ac:dyDescent="0.3">
      <c r="B186" s="29"/>
      <c r="C186" s="29"/>
      <c r="D186" s="67"/>
      <c r="E186" s="29"/>
      <c r="F186" s="29"/>
      <c r="G186" s="67"/>
      <c r="H186" s="29"/>
      <c r="I186" s="30"/>
      <c r="J186" s="30"/>
      <c r="K186" s="30"/>
      <c r="L186" s="30"/>
      <c r="M186" s="30"/>
      <c r="N186" s="30"/>
      <c r="O186" s="30"/>
      <c r="P186" s="30"/>
      <c r="Q186" s="30"/>
    </row>
    <row r="187" spans="2:17" x14ac:dyDescent="0.3">
      <c r="B187" s="29"/>
      <c r="C187" s="29"/>
      <c r="D187" s="67"/>
      <c r="E187" s="29"/>
      <c r="F187" s="29"/>
      <c r="G187" s="67"/>
      <c r="H187" s="29"/>
      <c r="I187" s="30"/>
      <c r="J187" s="30"/>
      <c r="K187" s="30"/>
      <c r="L187" s="30"/>
      <c r="M187" s="30"/>
      <c r="N187" s="30"/>
      <c r="O187" s="30"/>
      <c r="P187" s="30"/>
      <c r="Q187" s="30"/>
    </row>
    <row r="188" spans="2:17" x14ac:dyDescent="0.3">
      <c r="B188" s="29"/>
      <c r="C188" s="29"/>
      <c r="D188" s="67"/>
      <c r="E188" s="29"/>
      <c r="F188" s="29"/>
      <c r="G188" s="67"/>
      <c r="H188" s="29"/>
      <c r="I188" s="30"/>
      <c r="J188" s="30"/>
      <c r="K188" s="30"/>
      <c r="L188" s="30"/>
      <c r="M188" s="30"/>
      <c r="N188" s="30"/>
      <c r="O188" s="30"/>
      <c r="P188" s="30"/>
      <c r="Q188" s="30"/>
    </row>
    <row r="189" spans="2:17" x14ac:dyDescent="0.3">
      <c r="B189" s="29"/>
      <c r="C189" s="29"/>
      <c r="D189" s="67"/>
      <c r="E189" s="29"/>
      <c r="F189" s="29"/>
      <c r="G189" s="67"/>
      <c r="H189" s="29"/>
      <c r="I189" s="30"/>
      <c r="J189" s="30"/>
      <c r="K189" s="30"/>
      <c r="L189" s="30"/>
      <c r="M189" s="30"/>
      <c r="N189" s="30"/>
      <c r="O189" s="30"/>
      <c r="P189" s="30"/>
      <c r="Q189" s="30"/>
    </row>
    <row r="190" spans="2:17" x14ac:dyDescent="0.3">
      <c r="B190" s="29"/>
      <c r="C190" s="29"/>
      <c r="D190" s="67"/>
      <c r="E190" s="29"/>
      <c r="F190" s="29"/>
      <c r="G190" s="67"/>
      <c r="H190" s="29"/>
      <c r="I190" s="30"/>
      <c r="J190" s="30"/>
      <c r="K190" s="30"/>
      <c r="L190" s="30"/>
      <c r="M190" s="30"/>
      <c r="N190" s="30"/>
      <c r="O190" s="30"/>
      <c r="P190" s="30"/>
      <c r="Q190" s="30"/>
    </row>
    <row r="191" spans="2:17" x14ac:dyDescent="0.3">
      <c r="B191" s="29"/>
      <c r="C191" s="29"/>
      <c r="D191" s="67"/>
      <c r="E191" s="29"/>
      <c r="F191" s="29"/>
      <c r="G191" s="67"/>
      <c r="H191" s="29"/>
      <c r="I191" s="30"/>
      <c r="J191" s="30"/>
      <c r="K191" s="30"/>
      <c r="L191" s="30"/>
      <c r="M191" s="30"/>
      <c r="N191" s="30"/>
      <c r="O191" s="30"/>
      <c r="P191" s="30"/>
      <c r="Q191" s="30"/>
    </row>
    <row r="192" spans="2:17" x14ac:dyDescent="0.3">
      <c r="B192" s="29"/>
      <c r="C192" s="29"/>
      <c r="D192" s="67"/>
      <c r="E192" s="29"/>
      <c r="F192" s="29"/>
      <c r="G192" s="67"/>
      <c r="H192" s="29"/>
      <c r="I192" s="30"/>
      <c r="J192" s="30"/>
      <c r="K192" s="30"/>
      <c r="L192" s="30"/>
      <c r="M192" s="30"/>
      <c r="N192" s="30"/>
      <c r="O192" s="30"/>
      <c r="P192" s="30"/>
      <c r="Q192" s="30"/>
    </row>
    <row r="193" spans="2:17" x14ac:dyDescent="0.3">
      <c r="B193" s="29"/>
      <c r="C193" s="29"/>
      <c r="D193" s="67"/>
      <c r="E193" s="29"/>
      <c r="F193" s="29"/>
      <c r="G193" s="67"/>
      <c r="H193" s="29"/>
      <c r="I193" s="30"/>
      <c r="J193" s="30"/>
      <c r="K193" s="30"/>
      <c r="L193" s="30"/>
      <c r="M193" s="30"/>
      <c r="N193" s="30"/>
      <c r="O193" s="30"/>
      <c r="P193" s="30"/>
      <c r="Q193" s="30"/>
    </row>
    <row r="194" spans="2:17" x14ac:dyDescent="0.3">
      <c r="B194" s="29"/>
      <c r="C194" s="29"/>
      <c r="D194" s="67"/>
      <c r="E194" s="29"/>
      <c r="F194" s="29"/>
      <c r="G194" s="67"/>
      <c r="H194" s="29"/>
      <c r="I194" s="30"/>
      <c r="J194" s="30"/>
      <c r="K194" s="30"/>
      <c r="L194" s="30"/>
      <c r="M194" s="30"/>
      <c r="N194" s="30"/>
      <c r="O194" s="30"/>
      <c r="P194" s="30"/>
      <c r="Q194" s="30"/>
    </row>
    <row r="195" spans="2:17" x14ac:dyDescent="0.3">
      <c r="B195" s="29"/>
      <c r="C195" s="29"/>
      <c r="D195" s="67"/>
      <c r="E195" s="29"/>
      <c r="F195" s="29"/>
      <c r="G195" s="67"/>
      <c r="H195" s="29"/>
      <c r="I195" s="30"/>
      <c r="J195" s="30"/>
      <c r="K195" s="30"/>
      <c r="L195" s="30"/>
      <c r="M195" s="30"/>
      <c r="N195" s="30"/>
      <c r="O195" s="30"/>
      <c r="P195" s="30"/>
      <c r="Q195" s="30"/>
    </row>
    <row r="196" spans="2:17" x14ac:dyDescent="0.3">
      <c r="B196" s="29"/>
      <c r="C196" s="29"/>
      <c r="D196" s="67"/>
      <c r="E196" s="29"/>
      <c r="F196" s="29"/>
      <c r="G196" s="67"/>
      <c r="H196" s="29"/>
      <c r="I196" s="30"/>
      <c r="J196" s="30"/>
      <c r="K196" s="30"/>
      <c r="L196" s="30"/>
      <c r="M196" s="30"/>
      <c r="N196" s="30"/>
      <c r="O196" s="30"/>
      <c r="P196" s="30"/>
      <c r="Q196" s="30"/>
    </row>
    <row r="197" spans="2:17" x14ac:dyDescent="0.3">
      <c r="B197" s="29"/>
      <c r="C197" s="29"/>
      <c r="D197" s="67"/>
      <c r="E197" s="29"/>
      <c r="F197" s="29"/>
      <c r="G197" s="67"/>
      <c r="H197" s="29"/>
      <c r="I197" s="30"/>
      <c r="J197" s="30"/>
      <c r="K197" s="30"/>
      <c r="L197" s="30"/>
      <c r="M197" s="30"/>
      <c r="N197" s="30"/>
      <c r="O197" s="30"/>
      <c r="P197" s="30"/>
      <c r="Q197" s="30"/>
    </row>
    <row r="198" spans="2:17" x14ac:dyDescent="0.3">
      <c r="B198" s="29"/>
      <c r="C198" s="29"/>
      <c r="D198" s="67"/>
      <c r="E198" s="29"/>
      <c r="F198" s="29"/>
      <c r="G198" s="67"/>
      <c r="H198" s="29"/>
      <c r="I198" s="30"/>
      <c r="J198" s="30"/>
      <c r="K198" s="30"/>
      <c r="L198" s="30"/>
      <c r="M198" s="30"/>
      <c r="N198" s="30"/>
      <c r="O198" s="30"/>
      <c r="P198" s="30"/>
      <c r="Q198" s="30"/>
    </row>
    <row r="199" spans="2:17" x14ac:dyDescent="0.3">
      <c r="B199" s="29"/>
      <c r="C199" s="29"/>
      <c r="D199" s="67"/>
      <c r="E199" s="29"/>
      <c r="F199" s="29"/>
      <c r="G199" s="67"/>
      <c r="H199" s="29"/>
      <c r="I199" s="30"/>
      <c r="J199" s="30"/>
      <c r="K199" s="30"/>
      <c r="L199" s="30"/>
      <c r="M199" s="30"/>
      <c r="N199" s="30"/>
      <c r="O199" s="30"/>
      <c r="P199" s="30"/>
      <c r="Q199" s="30"/>
    </row>
    <row r="200" spans="2:17" x14ac:dyDescent="0.3">
      <c r="B200" s="29"/>
      <c r="C200" s="29"/>
      <c r="D200" s="67"/>
      <c r="E200" s="29"/>
      <c r="F200" s="29"/>
      <c r="G200" s="67"/>
      <c r="H200" s="29"/>
      <c r="I200" s="30"/>
      <c r="J200" s="30"/>
      <c r="K200" s="30"/>
      <c r="L200" s="30"/>
      <c r="M200" s="30"/>
      <c r="N200" s="30"/>
      <c r="O200" s="30"/>
      <c r="P200" s="30"/>
      <c r="Q200" s="30"/>
    </row>
    <row r="201" spans="2:17" x14ac:dyDescent="0.3">
      <c r="B201" s="29"/>
      <c r="C201" s="29"/>
      <c r="D201" s="67"/>
      <c r="E201" s="29"/>
      <c r="F201" s="29"/>
      <c r="G201" s="67"/>
      <c r="H201" s="29"/>
      <c r="I201" s="30"/>
      <c r="J201" s="30"/>
      <c r="K201" s="30"/>
      <c r="L201" s="30"/>
      <c r="M201" s="30"/>
      <c r="N201" s="30"/>
      <c r="O201" s="30"/>
      <c r="P201" s="30"/>
      <c r="Q201" s="30"/>
    </row>
    <row r="202" spans="2:17" x14ac:dyDescent="0.3">
      <c r="B202" s="29"/>
      <c r="C202" s="29"/>
      <c r="D202" s="67"/>
      <c r="E202" s="29"/>
      <c r="F202" s="29"/>
      <c r="G202" s="67"/>
      <c r="H202" s="29"/>
      <c r="I202" s="30"/>
      <c r="J202" s="30"/>
      <c r="K202" s="30"/>
      <c r="L202" s="30"/>
      <c r="M202" s="30"/>
      <c r="N202" s="30"/>
      <c r="O202" s="30"/>
      <c r="P202" s="30"/>
      <c r="Q202" s="30"/>
    </row>
    <row r="203" spans="2:17" x14ac:dyDescent="0.3">
      <c r="B203" s="29"/>
      <c r="C203" s="29"/>
      <c r="D203" s="67"/>
      <c r="E203" s="29"/>
      <c r="F203" s="29"/>
      <c r="G203" s="67"/>
      <c r="H203" s="29"/>
      <c r="I203" s="30"/>
      <c r="J203" s="30"/>
      <c r="K203" s="30"/>
      <c r="L203" s="30"/>
      <c r="M203" s="30"/>
      <c r="N203" s="30"/>
      <c r="O203" s="30"/>
      <c r="P203" s="30"/>
      <c r="Q203" s="30"/>
    </row>
    <row r="204" spans="2:17" x14ac:dyDescent="0.3">
      <c r="B204" s="29"/>
      <c r="C204" s="29"/>
      <c r="D204" s="67"/>
      <c r="E204" s="29"/>
      <c r="F204" s="29"/>
      <c r="G204" s="67"/>
      <c r="H204" s="29"/>
      <c r="I204" s="30"/>
      <c r="J204" s="30"/>
      <c r="K204" s="30"/>
      <c r="L204" s="30"/>
      <c r="M204" s="30"/>
      <c r="N204" s="30"/>
      <c r="O204" s="30"/>
      <c r="P204" s="30"/>
      <c r="Q204" s="30"/>
    </row>
    <row r="205" spans="2:17" x14ac:dyDescent="0.3">
      <c r="B205" s="29"/>
      <c r="C205" s="29"/>
      <c r="D205" s="67"/>
      <c r="E205" s="29"/>
      <c r="F205" s="29"/>
      <c r="G205" s="67"/>
      <c r="H205" s="29"/>
      <c r="I205" s="30"/>
      <c r="J205" s="30"/>
      <c r="K205" s="30"/>
      <c r="L205" s="30"/>
      <c r="M205" s="30"/>
      <c r="N205" s="30"/>
      <c r="O205" s="30"/>
      <c r="P205" s="30"/>
      <c r="Q205" s="30"/>
    </row>
    <row r="206" spans="2:17" x14ac:dyDescent="0.3">
      <c r="B206" s="29"/>
      <c r="C206" s="29"/>
      <c r="D206" s="67"/>
      <c r="E206" s="29"/>
      <c r="F206" s="29"/>
      <c r="G206" s="67"/>
      <c r="H206" s="29"/>
      <c r="I206" s="30"/>
      <c r="J206" s="30"/>
      <c r="K206" s="30"/>
      <c r="L206" s="30"/>
      <c r="M206" s="30"/>
      <c r="N206" s="30"/>
      <c r="O206" s="30"/>
      <c r="P206" s="30"/>
      <c r="Q206" s="30"/>
    </row>
    <row r="207" spans="2:17" x14ac:dyDescent="0.3">
      <c r="B207" s="29"/>
      <c r="C207" s="29"/>
      <c r="D207" s="67"/>
      <c r="E207" s="29"/>
      <c r="F207" s="29"/>
      <c r="G207" s="67"/>
      <c r="H207" s="29"/>
      <c r="I207" s="30"/>
      <c r="J207" s="30"/>
      <c r="K207" s="30"/>
      <c r="L207" s="30"/>
      <c r="M207" s="30"/>
      <c r="N207" s="30"/>
      <c r="O207" s="30"/>
      <c r="P207" s="30"/>
      <c r="Q207" s="30"/>
    </row>
    <row r="208" spans="2:17" x14ac:dyDescent="0.3">
      <c r="B208" s="29"/>
      <c r="C208" s="29"/>
      <c r="D208" s="67"/>
      <c r="E208" s="29"/>
      <c r="F208" s="29"/>
      <c r="G208" s="67"/>
      <c r="H208" s="29"/>
      <c r="I208" s="30"/>
      <c r="J208" s="30"/>
      <c r="K208" s="30"/>
      <c r="L208" s="30"/>
      <c r="M208" s="30"/>
      <c r="N208" s="30"/>
      <c r="O208" s="30"/>
      <c r="P208" s="30"/>
      <c r="Q208" s="30"/>
    </row>
    <row r="209" spans="2:17" x14ac:dyDescent="0.3">
      <c r="B209" s="29"/>
      <c r="C209" s="29"/>
      <c r="D209" s="67"/>
      <c r="E209" s="29"/>
      <c r="F209" s="29"/>
      <c r="G209" s="67"/>
      <c r="H209" s="29"/>
      <c r="I209" s="30"/>
      <c r="J209" s="30"/>
      <c r="K209" s="30"/>
      <c r="L209" s="30"/>
      <c r="M209" s="30"/>
      <c r="N209" s="30"/>
      <c r="O209" s="30"/>
      <c r="P209" s="30"/>
      <c r="Q209" s="30"/>
    </row>
    <row r="210" spans="2:17" x14ac:dyDescent="0.3">
      <c r="B210" s="29"/>
      <c r="C210" s="29"/>
      <c r="D210" s="67"/>
      <c r="E210" s="29"/>
      <c r="F210" s="29"/>
      <c r="G210" s="67"/>
      <c r="H210" s="29"/>
      <c r="I210" s="30"/>
      <c r="J210" s="30"/>
      <c r="K210" s="30"/>
      <c r="L210" s="30"/>
      <c r="M210" s="30"/>
      <c r="N210" s="30"/>
      <c r="O210" s="30"/>
      <c r="P210" s="30"/>
      <c r="Q210" s="30"/>
    </row>
    <row r="211" spans="2:17" x14ac:dyDescent="0.3">
      <c r="B211" s="29"/>
      <c r="C211" s="29"/>
      <c r="D211" s="67"/>
      <c r="E211" s="29"/>
      <c r="F211" s="29"/>
      <c r="G211" s="67"/>
      <c r="H211" s="29"/>
      <c r="I211" s="30"/>
      <c r="J211" s="30"/>
      <c r="K211" s="30"/>
      <c r="L211" s="30"/>
      <c r="M211" s="30"/>
      <c r="N211" s="30"/>
      <c r="O211" s="30"/>
      <c r="P211" s="30"/>
      <c r="Q211" s="30"/>
    </row>
    <row r="212" spans="2:17" x14ac:dyDescent="0.3">
      <c r="B212" s="29"/>
      <c r="C212" s="29"/>
      <c r="D212" s="67"/>
      <c r="E212" s="29"/>
      <c r="F212" s="29"/>
      <c r="G212" s="67"/>
      <c r="H212" s="29"/>
      <c r="I212" s="30"/>
      <c r="J212" s="30"/>
      <c r="K212" s="30"/>
      <c r="L212" s="30"/>
      <c r="M212" s="30"/>
      <c r="N212" s="30"/>
      <c r="O212" s="30"/>
      <c r="P212" s="30"/>
      <c r="Q212" s="30"/>
    </row>
    <row r="213" spans="2:17" x14ac:dyDescent="0.3">
      <c r="B213" s="29"/>
      <c r="C213" s="29"/>
      <c r="D213" s="67"/>
      <c r="E213" s="29"/>
      <c r="F213" s="29"/>
      <c r="G213" s="67"/>
      <c r="H213" s="29"/>
      <c r="I213" s="30"/>
      <c r="J213" s="30"/>
      <c r="K213" s="30"/>
      <c r="L213" s="30"/>
      <c r="M213" s="30"/>
      <c r="N213" s="30"/>
      <c r="O213" s="30"/>
      <c r="P213" s="30"/>
      <c r="Q213" s="30"/>
    </row>
    <row r="214" spans="2:17" x14ac:dyDescent="0.3">
      <c r="B214" s="29"/>
      <c r="C214" s="29"/>
      <c r="D214" s="67"/>
      <c r="E214" s="29"/>
      <c r="F214" s="29"/>
      <c r="G214" s="67"/>
      <c r="H214" s="29"/>
      <c r="I214" s="30"/>
      <c r="J214" s="30"/>
      <c r="K214" s="30"/>
      <c r="L214" s="30"/>
      <c r="M214" s="30"/>
      <c r="N214" s="30"/>
      <c r="O214" s="30"/>
      <c r="P214" s="30"/>
      <c r="Q214" s="30"/>
    </row>
    <row r="215" spans="2:17" x14ac:dyDescent="0.3">
      <c r="B215" s="29"/>
      <c r="C215" s="29"/>
      <c r="D215" s="67"/>
      <c r="E215" s="29"/>
      <c r="F215" s="29"/>
      <c r="G215" s="67"/>
      <c r="H215" s="29"/>
      <c r="I215" s="30"/>
      <c r="J215" s="30"/>
      <c r="K215" s="30"/>
      <c r="L215" s="30"/>
      <c r="M215" s="30"/>
      <c r="N215" s="30"/>
      <c r="O215" s="30"/>
      <c r="P215" s="30"/>
      <c r="Q215" s="30"/>
    </row>
    <row r="216" spans="2:17" x14ac:dyDescent="0.3">
      <c r="B216" s="29"/>
      <c r="C216" s="29"/>
      <c r="D216" s="67"/>
      <c r="E216" s="29"/>
      <c r="F216" s="29"/>
      <c r="G216" s="67"/>
      <c r="H216" s="29"/>
      <c r="I216" s="30"/>
      <c r="J216" s="30"/>
      <c r="K216" s="30"/>
      <c r="L216" s="30"/>
      <c r="M216" s="30"/>
      <c r="N216" s="30"/>
      <c r="O216" s="30"/>
      <c r="P216" s="30"/>
      <c r="Q216" s="30"/>
    </row>
    <row r="217" spans="2:17" x14ac:dyDescent="0.3">
      <c r="B217" s="29"/>
      <c r="C217" s="29"/>
      <c r="D217" s="67"/>
      <c r="E217" s="29"/>
      <c r="F217" s="29"/>
      <c r="G217" s="67"/>
      <c r="H217" s="29"/>
      <c r="I217" s="30"/>
      <c r="J217" s="30"/>
      <c r="K217" s="30"/>
      <c r="L217" s="30"/>
      <c r="M217" s="30"/>
      <c r="N217" s="30"/>
      <c r="O217" s="30"/>
      <c r="P217" s="30"/>
      <c r="Q217" s="30"/>
    </row>
    <row r="218" spans="2:17" x14ac:dyDescent="0.3">
      <c r="B218" s="29"/>
      <c r="C218" s="29"/>
      <c r="D218" s="67"/>
      <c r="E218" s="29"/>
      <c r="F218" s="29"/>
      <c r="G218" s="67"/>
      <c r="H218" s="29"/>
      <c r="I218" s="30"/>
      <c r="J218" s="30"/>
      <c r="K218" s="30"/>
      <c r="L218" s="30"/>
      <c r="M218" s="30"/>
      <c r="N218" s="30"/>
      <c r="O218" s="30"/>
      <c r="P218" s="30"/>
      <c r="Q218" s="30"/>
    </row>
    <row r="219" spans="2:17" x14ac:dyDescent="0.3">
      <c r="B219" s="29"/>
      <c r="C219" s="29"/>
      <c r="D219" s="67"/>
      <c r="E219" s="29"/>
      <c r="F219" s="29"/>
      <c r="G219" s="67"/>
      <c r="H219" s="29"/>
      <c r="I219" s="30"/>
      <c r="J219" s="30"/>
      <c r="K219" s="30"/>
      <c r="L219" s="30"/>
      <c r="M219" s="30"/>
      <c r="N219" s="30"/>
      <c r="O219" s="30"/>
      <c r="P219" s="30"/>
      <c r="Q219" s="30"/>
    </row>
    <row r="220" spans="2:17" x14ac:dyDescent="0.3">
      <c r="B220" s="29"/>
      <c r="C220" s="29"/>
      <c r="D220" s="67"/>
      <c r="E220" s="29"/>
      <c r="F220" s="29"/>
      <c r="G220" s="67"/>
      <c r="H220" s="29"/>
      <c r="I220" s="30"/>
      <c r="J220" s="30"/>
      <c r="K220" s="30"/>
      <c r="L220" s="30"/>
      <c r="M220" s="30"/>
      <c r="N220" s="30"/>
      <c r="O220" s="30"/>
      <c r="P220" s="30"/>
      <c r="Q220" s="30"/>
    </row>
    <row r="221" spans="2:17" x14ac:dyDescent="0.3">
      <c r="B221" s="29"/>
      <c r="C221" s="29"/>
      <c r="D221" s="67"/>
      <c r="E221" s="29"/>
      <c r="F221" s="29"/>
      <c r="G221" s="67"/>
      <c r="H221" s="29"/>
      <c r="I221" s="30"/>
      <c r="J221" s="30"/>
      <c r="K221" s="30"/>
      <c r="L221" s="30"/>
      <c r="M221" s="30"/>
      <c r="N221" s="30"/>
      <c r="O221" s="30"/>
      <c r="P221" s="30"/>
      <c r="Q221" s="30"/>
    </row>
    <row r="222" spans="2:17" x14ac:dyDescent="0.3">
      <c r="B222" s="29"/>
      <c r="C222" s="29"/>
      <c r="D222" s="67"/>
      <c r="E222" s="29"/>
      <c r="F222" s="29"/>
      <c r="G222" s="67"/>
      <c r="H222" s="29"/>
      <c r="I222" s="30"/>
      <c r="J222" s="30"/>
      <c r="K222" s="30"/>
      <c r="L222" s="30"/>
      <c r="M222" s="30"/>
      <c r="N222" s="30"/>
      <c r="O222" s="30"/>
      <c r="P222" s="30"/>
      <c r="Q222" s="30"/>
    </row>
    <row r="223" spans="2:17" x14ac:dyDescent="0.3">
      <c r="B223" s="29"/>
      <c r="C223" s="29"/>
      <c r="D223" s="67"/>
      <c r="E223" s="29"/>
      <c r="F223" s="29"/>
      <c r="G223" s="67"/>
      <c r="H223" s="29"/>
      <c r="I223" s="30"/>
      <c r="J223" s="30"/>
      <c r="K223" s="30"/>
      <c r="L223" s="30"/>
      <c r="M223" s="30"/>
      <c r="N223" s="30"/>
      <c r="O223" s="30"/>
      <c r="P223" s="30"/>
      <c r="Q223" s="30"/>
    </row>
    <row r="224" spans="2:17" x14ac:dyDescent="0.3">
      <c r="B224" s="29"/>
      <c r="C224" s="29"/>
      <c r="D224" s="67"/>
      <c r="E224" s="29"/>
      <c r="F224" s="29"/>
      <c r="G224" s="67"/>
      <c r="H224" s="29"/>
      <c r="I224" s="30"/>
      <c r="J224" s="30"/>
      <c r="K224" s="30"/>
      <c r="L224" s="30"/>
      <c r="M224" s="30"/>
      <c r="N224" s="30"/>
      <c r="O224" s="30"/>
      <c r="P224" s="30"/>
      <c r="Q224" s="30"/>
    </row>
    <row r="225" spans="2:17" x14ac:dyDescent="0.3">
      <c r="B225" s="29"/>
      <c r="C225" s="29"/>
      <c r="D225" s="67"/>
      <c r="E225" s="29"/>
      <c r="F225" s="29"/>
      <c r="G225" s="67"/>
      <c r="H225" s="29"/>
      <c r="I225" s="30"/>
      <c r="J225" s="30"/>
      <c r="K225" s="30"/>
      <c r="L225" s="30"/>
      <c r="M225" s="30"/>
      <c r="N225" s="30"/>
      <c r="O225" s="30"/>
      <c r="P225" s="30"/>
      <c r="Q225" s="30"/>
    </row>
    <row r="226" spans="2:17" x14ac:dyDescent="0.3">
      <c r="B226" s="29"/>
      <c r="C226" s="29"/>
      <c r="D226" s="67"/>
      <c r="E226" s="29"/>
      <c r="F226" s="29"/>
      <c r="G226" s="67"/>
      <c r="H226" s="29"/>
      <c r="I226" s="30"/>
      <c r="J226" s="30"/>
      <c r="K226" s="30"/>
      <c r="L226" s="30"/>
      <c r="M226" s="30"/>
      <c r="N226" s="30"/>
      <c r="O226" s="30"/>
      <c r="P226" s="30"/>
      <c r="Q226" s="30"/>
    </row>
    <row r="227" spans="2:17" x14ac:dyDescent="0.3">
      <c r="B227" s="29"/>
      <c r="C227" s="29"/>
      <c r="D227" s="67"/>
      <c r="E227" s="29"/>
      <c r="F227" s="29"/>
      <c r="G227" s="67"/>
      <c r="H227" s="29"/>
      <c r="I227" s="30"/>
      <c r="J227" s="30"/>
      <c r="K227" s="30"/>
      <c r="L227" s="30"/>
      <c r="M227" s="30"/>
      <c r="N227" s="30"/>
      <c r="O227" s="30"/>
      <c r="P227" s="30"/>
      <c r="Q227" s="30"/>
    </row>
    <row r="228" spans="2:17" x14ac:dyDescent="0.3">
      <c r="B228" s="29"/>
      <c r="C228" s="29"/>
      <c r="D228" s="67"/>
      <c r="E228" s="29"/>
      <c r="F228" s="29"/>
      <c r="G228" s="67"/>
      <c r="H228" s="29"/>
      <c r="I228" s="30"/>
      <c r="J228" s="30"/>
      <c r="K228" s="30"/>
      <c r="L228" s="30"/>
      <c r="M228" s="30"/>
      <c r="N228" s="30"/>
      <c r="O228" s="30"/>
      <c r="P228" s="30"/>
      <c r="Q228" s="30"/>
    </row>
    <row r="229" spans="2:17" x14ac:dyDescent="0.3">
      <c r="B229" s="29"/>
      <c r="C229" s="29"/>
      <c r="D229" s="67"/>
      <c r="E229" s="29"/>
      <c r="F229" s="29"/>
      <c r="G229" s="67"/>
      <c r="H229" s="29"/>
      <c r="I229" s="30"/>
      <c r="J229" s="30"/>
      <c r="K229" s="30"/>
      <c r="L229" s="30"/>
      <c r="M229" s="30"/>
      <c r="N229" s="30"/>
      <c r="O229" s="30"/>
      <c r="P229" s="30"/>
      <c r="Q229" s="30"/>
    </row>
    <row r="230" spans="2:17" x14ac:dyDescent="0.3">
      <c r="B230" s="29"/>
      <c r="C230" s="29"/>
      <c r="D230" s="67"/>
      <c r="E230" s="29"/>
      <c r="F230" s="29"/>
      <c r="G230" s="67"/>
      <c r="H230" s="29"/>
      <c r="I230" s="30"/>
      <c r="J230" s="30"/>
      <c r="K230" s="30"/>
      <c r="L230" s="30"/>
      <c r="M230" s="30"/>
      <c r="N230" s="30"/>
      <c r="O230" s="30"/>
      <c r="P230" s="30"/>
      <c r="Q230" s="30"/>
    </row>
    <row r="231" spans="2:17" x14ac:dyDescent="0.3">
      <c r="B231" s="29"/>
      <c r="C231" s="29"/>
      <c r="D231" s="67"/>
      <c r="E231" s="29"/>
      <c r="F231" s="29"/>
      <c r="G231" s="67"/>
      <c r="H231" s="29"/>
      <c r="I231" s="30"/>
      <c r="J231" s="30"/>
      <c r="K231" s="30"/>
      <c r="L231" s="30"/>
      <c r="M231" s="30"/>
      <c r="N231" s="30"/>
      <c r="O231" s="30"/>
      <c r="P231" s="30"/>
      <c r="Q231" s="30"/>
    </row>
    <row r="232" spans="2:17" x14ac:dyDescent="0.3">
      <c r="B232" s="29"/>
      <c r="C232" s="29"/>
      <c r="D232" s="67"/>
      <c r="E232" s="29"/>
      <c r="F232" s="29"/>
      <c r="G232" s="67"/>
      <c r="H232" s="29"/>
      <c r="I232" s="30"/>
      <c r="J232" s="30"/>
      <c r="K232" s="30"/>
      <c r="L232" s="30"/>
      <c r="M232" s="30"/>
      <c r="N232" s="30"/>
      <c r="O232" s="30"/>
      <c r="P232" s="30"/>
      <c r="Q232" s="30"/>
    </row>
    <row r="233" spans="2:17" x14ac:dyDescent="0.3">
      <c r="B233" s="29"/>
      <c r="C233" s="29"/>
      <c r="D233" s="67"/>
      <c r="E233" s="29"/>
      <c r="F233" s="29"/>
      <c r="G233" s="67"/>
      <c r="H233" s="29"/>
      <c r="I233" s="30"/>
      <c r="J233" s="30"/>
      <c r="K233" s="30"/>
      <c r="L233" s="30"/>
      <c r="M233" s="30"/>
      <c r="N233" s="30"/>
      <c r="O233" s="30"/>
      <c r="P233" s="30"/>
      <c r="Q233" s="30"/>
    </row>
    <row r="234" spans="2:17" x14ac:dyDescent="0.3">
      <c r="B234" s="29"/>
      <c r="C234" s="29"/>
      <c r="D234" s="67"/>
      <c r="E234" s="29"/>
      <c r="F234" s="29"/>
      <c r="G234" s="67"/>
      <c r="H234" s="29"/>
      <c r="I234" s="30"/>
      <c r="J234" s="30"/>
      <c r="K234" s="30"/>
      <c r="L234" s="30"/>
      <c r="M234" s="30"/>
      <c r="N234" s="30"/>
      <c r="O234" s="30"/>
      <c r="P234" s="30"/>
      <c r="Q234" s="30"/>
    </row>
    <row r="235" spans="2:17" x14ac:dyDescent="0.3">
      <c r="B235" s="29"/>
      <c r="C235" s="29"/>
      <c r="D235" s="67"/>
      <c r="E235" s="29"/>
      <c r="F235" s="29"/>
      <c r="G235" s="67"/>
      <c r="H235" s="29"/>
      <c r="I235" s="30"/>
      <c r="J235" s="30"/>
      <c r="K235" s="30"/>
      <c r="L235" s="30"/>
      <c r="M235" s="30"/>
      <c r="N235" s="30"/>
      <c r="O235" s="30"/>
      <c r="P235" s="30"/>
      <c r="Q235" s="30"/>
    </row>
    <row r="236" spans="2:17" x14ac:dyDescent="0.3">
      <c r="B236" s="29"/>
      <c r="C236" s="29"/>
      <c r="D236" s="67"/>
      <c r="E236" s="29"/>
      <c r="F236" s="29"/>
      <c r="G236" s="67"/>
      <c r="H236" s="29"/>
      <c r="I236" s="30"/>
      <c r="J236" s="30"/>
      <c r="K236" s="30"/>
      <c r="L236" s="30"/>
      <c r="M236" s="30"/>
      <c r="N236" s="30"/>
      <c r="O236" s="30"/>
      <c r="P236" s="30"/>
      <c r="Q236" s="30"/>
    </row>
    <row r="237" spans="2:17" x14ac:dyDescent="0.3">
      <c r="B237" s="29"/>
      <c r="C237" s="29"/>
      <c r="D237" s="67"/>
      <c r="E237" s="29"/>
      <c r="F237" s="29"/>
      <c r="G237" s="67"/>
      <c r="H237" s="29"/>
      <c r="I237" s="30"/>
      <c r="J237" s="30"/>
      <c r="K237" s="30"/>
      <c r="L237" s="30"/>
      <c r="M237" s="30"/>
      <c r="N237" s="30"/>
      <c r="O237" s="30"/>
      <c r="P237" s="30"/>
      <c r="Q237" s="30"/>
    </row>
    <row r="238" spans="2:17" x14ac:dyDescent="0.3">
      <c r="B238" s="29"/>
      <c r="C238" s="29"/>
      <c r="D238" s="67"/>
      <c r="E238" s="29"/>
      <c r="F238" s="29"/>
      <c r="G238" s="67"/>
      <c r="H238" s="29"/>
      <c r="I238" s="30"/>
      <c r="J238" s="30"/>
      <c r="K238" s="30"/>
      <c r="L238" s="30"/>
      <c r="M238" s="30"/>
      <c r="N238" s="30"/>
      <c r="O238" s="30"/>
      <c r="P238" s="30"/>
      <c r="Q238" s="30"/>
    </row>
    <row r="239" spans="2:17" x14ac:dyDescent="0.3">
      <c r="B239" s="29"/>
      <c r="C239" s="29"/>
      <c r="D239" s="67"/>
      <c r="E239" s="29"/>
      <c r="F239" s="29"/>
      <c r="G239" s="67"/>
      <c r="H239" s="29"/>
      <c r="I239" s="30"/>
      <c r="J239" s="30"/>
      <c r="K239" s="30"/>
      <c r="L239" s="30"/>
      <c r="M239" s="30"/>
      <c r="N239" s="30"/>
      <c r="O239" s="30"/>
      <c r="P239" s="30"/>
      <c r="Q239" s="30"/>
    </row>
    <row r="240" spans="2:17" x14ac:dyDescent="0.3">
      <c r="B240" s="29"/>
      <c r="C240" s="29"/>
      <c r="D240" s="67"/>
      <c r="E240" s="29"/>
      <c r="F240" s="29"/>
      <c r="G240" s="67"/>
      <c r="H240" s="29"/>
      <c r="I240" s="30"/>
      <c r="J240" s="30"/>
      <c r="K240" s="30"/>
      <c r="L240" s="30"/>
      <c r="M240" s="30"/>
      <c r="N240" s="30"/>
      <c r="O240" s="30"/>
      <c r="P240" s="30"/>
      <c r="Q240" s="30"/>
    </row>
    <row r="241" spans="2:17" x14ac:dyDescent="0.3">
      <c r="B241" s="29"/>
      <c r="C241" s="29"/>
      <c r="D241" s="67"/>
      <c r="E241" s="29"/>
      <c r="F241" s="29"/>
      <c r="G241" s="67"/>
      <c r="H241" s="29"/>
      <c r="I241" s="30"/>
      <c r="J241" s="30"/>
      <c r="K241" s="30"/>
      <c r="L241" s="30"/>
      <c r="M241" s="30"/>
      <c r="N241" s="30"/>
      <c r="O241" s="30"/>
      <c r="P241" s="30"/>
      <c r="Q241" s="30"/>
    </row>
    <row r="242" spans="2:17" x14ac:dyDescent="0.3">
      <c r="B242" s="29"/>
      <c r="C242" s="29"/>
      <c r="D242" s="67"/>
      <c r="E242" s="29"/>
      <c r="F242" s="29"/>
      <c r="G242" s="67"/>
      <c r="H242" s="29"/>
      <c r="I242" s="30"/>
      <c r="J242" s="30"/>
      <c r="K242" s="30"/>
      <c r="L242" s="30"/>
      <c r="M242" s="30"/>
      <c r="N242" s="30"/>
      <c r="O242" s="30"/>
      <c r="P242" s="30"/>
      <c r="Q242" s="30"/>
    </row>
    <row r="243" spans="2:17" x14ac:dyDescent="0.3">
      <c r="B243" s="29"/>
      <c r="C243" s="29"/>
      <c r="D243" s="67"/>
      <c r="E243" s="29"/>
      <c r="F243" s="29"/>
      <c r="G243" s="67"/>
      <c r="H243" s="29"/>
      <c r="I243" s="30"/>
      <c r="J243" s="30"/>
      <c r="K243" s="30"/>
      <c r="L243" s="30"/>
      <c r="M243" s="30"/>
      <c r="N243" s="30"/>
      <c r="O243" s="30"/>
      <c r="P243" s="30"/>
      <c r="Q243" s="30"/>
    </row>
  </sheetData>
  <mergeCells count="5">
    <mergeCell ref="A2:H2"/>
    <mergeCell ref="B6:D6"/>
    <mergeCell ref="E6:G6"/>
    <mergeCell ref="B22:D22"/>
    <mergeCell ref="E22:G2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34">
    <tabColor indexed="52"/>
    <outlinePr applyStyles="1" summaryBelow="0"/>
    <pageSetUpPr fitToPage="1"/>
  </sheetPr>
  <dimension ref="A2:S243"/>
  <sheetViews>
    <sheetView workbookViewId="0">
      <selection activeCell="A8" sqref="A8"/>
    </sheetView>
  </sheetViews>
  <sheetFormatPr defaultColWidth="16.33203125" defaultRowHeight="13.8" outlineLevelRow="1" x14ac:dyDescent="0.3"/>
  <cols>
    <col min="1" max="1" width="65.33203125" style="26" bestFit="1" customWidth="1"/>
    <col min="2" max="2" width="14.44140625" style="27" bestFit="1" customWidth="1"/>
    <col min="3" max="3" width="18.33203125" style="96" bestFit="1" customWidth="1"/>
    <col min="4" max="4" width="18.44140625" style="96" bestFit="1" customWidth="1"/>
    <col min="5" max="5" width="14.88671875" style="27" bestFit="1" customWidth="1"/>
    <col min="6" max="6" width="16" style="27" bestFit="1" customWidth="1"/>
    <col min="7" max="7" width="10.6640625" style="76" bestFit="1" customWidth="1"/>
    <col min="8" max="8" width="14.44140625" style="27" bestFit="1" customWidth="1"/>
    <col min="9" max="9" width="18.33203125" style="96" bestFit="1" customWidth="1"/>
    <col min="10" max="10" width="18.44140625" style="96" bestFit="1" customWidth="1"/>
    <col min="11" max="12" width="16" style="27" bestFit="1" customWidth="1"/>
    <col min="13" max="13" width="10.6640625" style="76" bestFit="1" customWidth="1"/>
    <col min="14" max="14" width="16.109375" style="27" bestFit="1" customWidth="1"/>
    <col min="15" max="15" width="16.33203125" style="26" customWidth="1"/>
    <col min="16" max="16384" width="16.33203125" style="26"/>
  </cols>
  <sheetData>
    <row r="2" spans="1:19" s="34" customFormat="1" ht="18" x14ac:dyDescent="0.35">
      <c r="A2" s="5" t="str">
        <f>DEBT_CURR_STRUCT</f>
        <v>Валютна структура боргу на кінець попереднього року та на звітну дату</v>
      </c>
      <c r="B2" s="3"/>
      <c r="C2" s="3"/>
      <c r="D2" s="3"/>
      <c r="E2" s="3"/>
      <c r="F2" s="3"/>
      <c r="G2" s="3"/>
      <c r="H2" s="3"/>
      <c r="I2" s="3"/>
      <c r="J2" s="3"/>
      <c r="K2" s="3"/>
      <c r="L2" s="3"/>
      <c r="M2" s="3"/>
      <c r="N2" s="3"/>
      <c r="O2" s="100"/>
      <c r="P2" s="100"/>
      <c r="Q2" s="100"/>
      <c r="R2" s="100"/>
      <c r="S2" s="100"/>
    </row>
    <row r="3" spans="1:19" x14ac:dyDescent="0.3">
      <c r="A3" s="28"/>
    </row>
    <row r="4" spans="1:19" s="31" customFormat="1" x14ac:dyDescent="0.3">
      <c r="B4" s="32"/>
      <c r="C4" s="98"/>
      <c r="D4" s="98"/>
      <c r="E4" s="32"/>
      <c r="F4" s="32"/>
      <c r="G4" s="71"/>
      <c r="H4" s="32"/>
      <c r="I4" s="98"/>
      <c r="J4" s="98"/>
      <c r="K4" s="32"/>
      <c r="L4" s="32"/>
      <c r="M4" s="71"/>
      <c r="N4" s="31" t="str">
        <f>VALVAL</f>
        <v>млрд. одиниць</v>
      </c>
    </row>
    <row r="5" spans="1:19" s="57" customFormat="1" x14ac:dyDescent="0.25">
      <c r="A5" s="82"/>
      <c r="B5" s="288">
        <v>46022</v>
      </c>
      <c r="C5" s="289"/>
      <c r="D5" s="289"/>
      <c r="E5" s="289"/>
      <c r="F5" s="289"/>
      <c r="G5" s="290"/>
      <c r="H5" s="288">
        <v>46265</v>
      </c>
      <c r="I5" s="289"/>
      <c r="J5" s="289"/>
      <c r="K5" s="289"/>
      <c r="L5" s="289"/>
      <c r="M5" s="290"/>
      <c r="N5" s="83"/>
    </row>
    <row r="6" spans="1:19" s="84" customFormat="1" x14ac:dyDescent="0.25">
      <c r="A6" s="16"/>
      <c r="B6" s="72" t="str">
        <f>ORIGINAL</f>
        <v>оріг.</v>
      </c>
      <c r="C6" s="99" t="str">
        <f>EXCH_RATE_TO_USD</f>
        <v>курс до USD</v>
      </c>
      <c r="D6" s="99" t="str">
        <f>EXCH_RATE_TO_UAH</f>
        <v>курс до UAH</v>
      </c>
      <c r="E6" s="72" t="str">
        <f>USD</f>
        <v>дол. США</v>
      </c>
      <c r="F6" s="72" t="str">
        <f>UAH</f>
        <v>грн.</v>
      </c>
      <c r="G6" s="73" t="s">
        <v>0</v>
      </c>
      <c r="H6" s="72" t="str">
        <f>ORIGINAL</f>
        <v>оріг.</v>
      </c>
      <c r="I6" s="99" t="str">
        <f>EXCH_RATE_TO_USD</f>
        <v>курс до USD</v>
      </c>
      <c r="J6" s="99" t="str">
        <f>EXCH_RATE_TO_UAH</f>
        <v>курс до UAH</v>
      </c>
      <c r="K6" s="72" t="str">
        <f>USD</f>
        <v>дол. США</v>
      </c>
      <c r="L6" s="72" t="str">
        <f>UAH</f>
        <v>грн.</v>
      </c>
      <c r="M6" s="73" t="s">
        <v>0</v>
      </c>
      <c r="N6" s="72" t="str">
        <f>CHANGE_OF_STRUCTURE</f>
        <v>Зміна структури</v>
      </c>
    </row>
    <row r="7" spans="1:19" s="19" customFormat="1" ht="14.4" x14ac:dyDescent="0.25">
      <c r="A7" s="165" t="str">
        <f>DEBT_TOTAL</f>
        <v>Загальна сума державного та гарантованого державою боргу</v>
      </c>
      <c r="B7" s="47"/>
      <c r="C7" s="101"/>
      <c r="D7" s="101"/>
      <c r="E7" s="47">
        <f>SUM(E8:E23)</f>
        <v>213.33206790508999</v>
      </c>
      <c r="F7" s="47">
        <f>SUM(F8:F23)</f>
        <v>9042.6770279453885</v>
      </c>
      <c r="G7" s="102">
        <f>SUM(G8:G23)</f>
        <v>0.99999999999999989</v>
      </c>
      <c r="H7" s="47"/>
      <c r="I7" s="101"/>
      <c r="J7" s="101"/>
      <c r="K7" s="47">
        <f>SUM(K8:K23)</f>
        <v>215.55073598985001</v>
      </c>
      <c r="L7" s="47">
        <f>SUM(L8:L23)</f>
        <v>9602.8930637009707</v>
      </c>
      <c r="M7" s="102">
        <f>SUM(M8:M23)</f>
        <v>1.0000009999999999</v>
      </c>
      <c r="N7" s="47">
        <f>SUM(N8:N23)</f>
        <v>-4.6078592330633938E-19</v>
      </c>
    </row>
    <row r="8" spans="1:19" s="42" customFormat="1" outlineLevel="1" x14ac:dyDescent="0.25">
      <c r="A8" s="174" t="s">
        <v>151</v>
      </c>
      <c r="B8" s="180">
        <v>0.62629079700000001</v>
      </c>
      <c r="C8" s="282">
        <v>1.3496999999999999</v>
      </c>
      <c r="D8" s="282">
        <v>57.210799999999999</v>
      </c>
      <c r="E8" s="180">
        <v>0.84530448688000004</v>
      </c>
      <c r="F8" s="180">
        <v>35.830597529009999</v>
      </c>
      <c r="G8" s="244">
        <v>3.9620000000000002E-3</v>
      </c>
      <c r="H8" s="180">
        <v>0.77304582499999996</v>
      </c>
      <c r="I8" s="282">
        <v>1.35853</v>
      </c>
      <c r="J8" s="282">
        <v>60.523200000000003</v>
      </c>
      <c r="K8" s="180">
        <v>1.05020610488</v>
      </c>
      <c r="L8" s="180">
        <v>46.787207075650002</v>
      </c>
      <c r="M8" s="244">
        <v>4.8719999999999996E-3</v>
      </c>
      <c r="N8" s="180">
        <v>9.1E-4</v>
      </c>
    </row>
    <row r="9" spans="1:19" outlineLevel="1" x14ac:dyDescent="0.3">
      <c r="A9" s="245" t="s">
        <v>152</v>
      </c>
      <c r="B9" s="190">
        <v>48.310865544979997</v>
      </c>
      <c r="C9" s="283">
        <v>1</v>
      </c>
      <c r="D9" s="283">
        <v>42.387799999999999</v>
      </c>
      <c r="E9" s="190">
        <v>48.310865544979997</v>
      </c>
      <c r="F9" s="190">
        <v>2047.79130654752</v>
      </c>
      <c r="G9" s="212">
        <v>0.22645899999999999</v>
      </c>
      <c r="H9" s="190">
        <v>49.451781718100001</v>
      </c>
      <c r="I9" s="283">
        <v>1</v>
      </c>
      <c r="J9" s="283">
        <v>44.5505</v>
      </c>
      <c r="K9" s="190">
        <v>49.451781718100001</v>
      </c>
      <c r="L9" s="190">
        <v>2203.1016014322399</v>
      </c>
      <c r="M9" s="212">
        <v>0.22942100000000001</v>
      </c>
      <c r="N9" s="190">
        <v>2.9619999999999998E-3</v>
      </c>
      <c r="O9" s="30"/>
      <c r="P9" s="30"/>
      <c r="Q9" s="30"/>
    </row>
    <row r="10" spans="1:19" outlineLevel="1" x14ac:dyDescent="0.3">
      <c r="A10" s="245" t="s">
        <v>153</v>
      </c>
      <c r="B10" s="190">
        <v>81.185023340469996</v>
      </c>
      <c r="C10" s="283">
        <v>1.176199</v>
      </c>
      <c r="D10" s="283">
        <v>49.856499999999997</v>
      </c>
      <c r="E10" s="190">
        <v>95.489766304849994</v>
      </c>
      <c r="F10" s="190">
        <v>4047.6011161741199</v>
      </c>
      <c r="G10" s="212">
        <v>0.44761099999999998</v>
      </c>
      <c r="H10" s="190">
        <v>83.244414642859994</v>
      </c>
      <c r="I10" s="283">
        <v>1.1645300000000001</v>
      </c>
      <c r="J10" s="283">
        <v>51.880400000000002</v>
      </c>
      <c r="K10" s="190">
        <v>96.940629834459997</v>
      </c>
      <c r="L10" s="190">
        <v>4318.7535294374502</v>
      </c>
      <c r="M10" s="212">
        <v>0.449735</v>
      </c>
      <c r="N10" s="190">
        <v>2.124E-3</v>
      </c>
      <c r="O10" s="30"/>
      <c r="P10" s="30"/>
      <c r="Q10" s="30"/>
    </row>
    <row r="11" spans="1:19" outlineLevel="1" x14ac:dyDescent="0.3">
      <c r="A11" s="245" t="s">
        <v>154</v>
      </c>
      <c r="B11" s="190">
        <v>6.75</v>
      </c>
      <c r="C11" s="283">
        <v>0.72965999999999998</v>
      </c>
      <c r="D11" s="283">
        <v>30.928699999999999</v>
      </c>
      <c r="E11" s="190">
        <v>4.9252078428199999</v>
      </c>
      <c r="F11" s="190">
        <v>208.76872499999999</v>
      </c>
      <c r="G11" s="212">
        <v>2.3087E-2</v>
      </c>
      <c r="H11" s="190">
        <v>6.75</v>
      </c>
      <c r="I11" s="283">
        <v>0.72201700000000002</v>
      </c>
      <c r="J11" s="283">
        <v>32.166200000000003</v>
      </c>
      <c r="K11" s="190">
        <v>4.8736119684399997</v>
      </c>
      <c r="L11" s="190">
        <v>217.12184999999999</v>
      </c>
      <c r="M11" s="212">
        <v>2.2610000000000002E-2</v>
      </c>
      <c r="N11" s="190">
        <v>-4.7699999999999999E-4</v>
      </c>
      <c r="O11" s="30"/>
      <c r="P11" s="30"/>
      <c r="Q11" s="30"/>
    </row>
    <row r="12" spans="1:19" outlineLevel="1" x14ac:dyDescent="0.3">
      <c r="A12" s="245" t="s">
        <v>155</v>
      </c>
      <c r="B12" s="190">
        <v>13.442224899999999</v>
      </c>
      <c r="C12" s="283">
        <v>1.3695029999999999</v>
      </c>
      <c r="D12" s="283">
        <v>58.050210999999997</v>
      </c>
      <c r="E12" s="190">
        <v>18.40916470666</v>
      </c>
      <c r="F12" s="190">
        <v>780.32399175445005</v>
      </c>
      <c r="G12" s="212">
        <v>8.6292999999999995E-2</v>
      </c>
      <c r="H12" s="190">
        <v>14.114690734</v>
      </c>
      <c r="I12" s="283">
        <v>1.3688769999999999</v>
      </c>
      <c r="J12" s="283">
        <v>60.984139999999996</v>
      </c>
      <c r="K12" s="190">
        <v>19.32127082253</v>
      </c>
      <c r="L12" s="190">
        <v>860.77227577894996</v>
      </c>
      <c r="M12" s="212">
        <v>8.9636999999999994E-2</v>
      </c>
      <c r="N12" s="190">
        <v>3.3430000000000001E-3</v>
      </c>
      <c r="O12" s="30"/>
      <c r="P12" s="30"/>
      <c r="Q12" s="30"/>
    </row>
    <row r="13" spans="1:19" outlineLevel="1" x14ac:dyDescent="0.3">
      <c r="A13" s="245" t="s">
        <v>156</v>
      </c>
      <c r="B13" s="190">
        <v>1886.1115521808499</v>
      </c>
      <c r="C13" s="283">
        <v>2.3591999999999998E-2</v>
      </c>
      <c r="D13" s="283">
        <v>1</v>
      </c>
      <c r="E13" s="190">
        <v>44.49656628044</v>
      </c>
      <c r="F13" s="190">
        <v>1886.1115521808499</v>
      </c>
      <c r="G13" s="212">
        <v>0.20857899999999999</v>
      </c>
      <c r="H13" s="190">
        <v>1918.70723532899</v>
      </c>
      <c r="I13" s="283">
        <v>2.2446000000000001E-2</v>
      </c>
      <c r="J13" s="283">
        <v>1</v>
      </c>
      <c r="K13" s="190">
        <v>43.06814144266</v>
      </c>
      <c r="L13" s="190">
        <v>1918.70723532899</v>
      </c>
      <c r="M13" s="212">
        <v>0.19980500000000001</v>
      </c>
      <c r="N13" s="190">
        <v>-8.7740000000000005E-3</v>
      </c>
      <c r="O13" s="30"/>
      <c r="P13" s="30"/>
      <c r="Q13" s="30"/>
    </row>
    <row r="14" spans="1:19" outlineLevel="1" x14ac:dyDescent="0.3">
      <c r="A14" s="245" t="s">
        <v>157</v>
      </c>
      <c r="B14" s="190">
        <v>133.369163942</v>
      </c>
      <c r="C14" s="283">
        <v>6.4120000000000002E-3</v>
      </c>
      <c r="D14" s="283">
        <v>0.27179999999999999</v>
      </c>
      <c r="E14" s="190">
        <v>0.85519273845999999</v>
      </c>
      <c r="F14" s="190">
        <v>36.24973875944</v>
      </c>
      <c r="G14" s="212">
        <v>4.0090000000000004E-3</v>
      </c>
      <c r="H14" s="190">
        <v>134.93428660199999</v>
      </c>
      <c r="I14" s="283">
        <v>6.2630000000000003E-3</v>
      </c>
      <c r="J14" s="283">
        <v>0.27901999999999999</v>
      </c>
      <c r="K14" s="190">
        <v>0.84509409877999997</v>
      </c>
      <c r="L14" s="190">
        <v>37.64936464769</v>
      </c>
      <c r="M14" s="212">
        <v>3.921E-3</v>
      </c>
      <c r="N14" s="190">
        <v>-8.7999999999999998E-5</v>
      </c>
      <c r="O14" s="30"/>
      <c r="P14" s="30"/>
      <c r="Q14" s="30"/>
    </row>
    <row r="15" spans="1:19" x14ac:dyDescent="0.3">
      <c r="B15" s="29"/>
      <c r="C15" s="97"/>
      <c r="D15" s="97"/>
      <c r="E15" s="29"/>
      <c r="F15" s="29"/>
      <c r="G15" s="67"/>
      <c r="H15" s="29"/>
      <c r="I15" s="97"/>
      <c r="J15" s="97"/>
      <c r="K15" s="29"/>
      <c r="L15" s="29"/>
      <c r="M15" s="67"/>
      <c r="N15" s="29"/>
      <c r="O15" s="30"/>
      <c r="P15" s="30"/>
      <c r="Q15" s="30"/>
    </row>
    <row r="16" spans="1:19" x14ac:dyDescent="0.3">
      <c r="B16" s="29"/>
      <c r="C16" s="97"/>
      <c r="D16" s="97"/>
      <c r="E16" s="29"/>
      <c r="F16" s="29"/>
      <c r="G16" s="67"/>
      <c r="H16" s="29"/>
      <c r="I16" s="97"/>
      <c r="J16" s="97"/>
      <c r="K16" s="29"/>
      <c r="L16" s="29"/>
      <c r="M16" s="67"/>
      <c r="N16" s="29"/>
      <c r="O16" s="30"/>
      <c r="P16" s="30"/>
      <c r="Q16" s="30"/>
    </row>
    <row r="17" spans="2:17" x14ac:dyDescent="0.3">
      <c r="B17" s="29"/>
      <c r="C17" s="97"/>
      <c r="D17" s="97"/>
      <c r="E17" s="29"/>
      <c r="F17" s="29"/>
      <c r="G17" s="67"/>
      <c r="H17" s="29"/>
      <c r="I17" s="97"/>
      <c r="J17" s="97"/>
      <c r="K17" s="29"/>
      <c r="L17" s="29"/>
      <c r="M17" s="67"/>
      <c r="N17" s="29"/>
      <c r="O17" s="30"/>
      <c r="P17" s="30"/>
      <c r="Q17" s="30"/>
    </row>
    <row r="18" spans="2:17" x14ac:dyDescent="0.3">
      <c r="B18" s="29"/>
      <c r="C18" s="97"/>
      <c r="D18" s="97"/>
      <c r="E18" s="29"/>
      <c r="F18" s="29"/>
      <c r="G18" s="67"/>
      <c r="H18" s="29"/>
      <c r="I18" s="97"/>
      <c r="J18" s="97"/>
      <c r="K18" s="29"/>
      <c r="L18" s="29"/>
      <c r="M18" s="67"/>
      <c r="N18" s="29"/>
      <c r="O18" s="30"/>
      <c r="P18" s="30"/>
      <c r="Q18" s="30"/>
    </row>
    <row r="19" spans="2:17" x14ac:dyDescent="0.3">
      <c r="B19" s="29"/>
      <c r="C19" s="97"/>
      <c r="D19" s="97"/>
      <c r="E19" s="29"/>
      <c r="F19" s="29"/>
      <c r="G19" s="67"/>
      <c r="H19" s="29"/>
      <c r="I19" s="97"/>
      <c r="J19" s="97"/>
      <c r="K19" s="29"/>
      <c r="L19" s="29"/>
      <c r="M19" s="67"/>
      <c r="N19" s="29"/>
      <c r="O19" s="30"/>
      <c r="P19" s="30"/>
      <c r="Q19" s="30"/>
    </row>
    <row r="20" spans="2:17" x14ac:dyDescent="0.3">
      <c r="B20" s="29"/>
      <c r="C20" s="97"/>
      <c r="D20" s="97"/>
      <c r="E20" s="29"/>
      <c r="F20" s="29"/>
      <c r="G20" s="67"/>
      <c r="H20" s="29"/>
      <c r="I20" s="97"/>
      <c r="J20" s="97"/>
      <c r="K20" s="29"/>
      <c r="L20" s="29"/>
      <c r="M20" s="67"/>
      <c r="N20" s="29"/>
      <c r="O20" s="30"/>
      <c r="P20" s="30"/>
      <c r="Q20" s="30"/>
    </row>
    <row r="21" spans="2:17" x14ac:dyDescent="0.3">
      <c r="B21" s="29"/>
      <c r="C21" s="97"/>
      <c r="D21" s="97"/>
      <c r="E21" s="29"/>
      <c r="F21" s="29"/>
      <c r="G21" s="67"/>
      <c r="H21" s="29"/>
      <c r="I21" s="97"/>
      <c r="J21" s="97"/>
      <c r="K21" s="29"/>
      <c r="L21" s="29"/>
      <c r="M21" s="67"/>
      <c r="N21" s="29"/>
      <c r="O21" s="30"/>
      <c r="P21" s="30"/>
      <c r="Q21" s="30"/>
    </row>
    <row r="22" spans="2:17" x14ac:dyDescent="0.3">
      <c r="B22" s="29"/>
      <c r="C22" s="97"/>
      <c r="D22" s="97"/>
      <c r="E22" s="29"/>
      <c r="F22" s="29"/>
      <c r="G22" s="67"/>
      <c r="H22" s="29"/>
      <c r="I22" s="97"/>
      <c r="J22" s="97"/>
      <c r="K22" s="29"/>
      <c r="L22" s="29"/>
      <c r="M22" s="67"/>
      <c r="N22" s="29"/>
      <c r="O22" s="30"/>
      <c r="P22" s="30"/>
      <c r="Q22" s="30"/>
    </row>
    <row r="23" spans="2:17" x14ac:dyDescent="0.3">
      <c r="B23" s="29"/>
      <c r="C23" s="97"/>
      <c r="D23" s="97"/>
      <c r="E23" s="29"/>
      <c r="F23" s="29"/>
      <c r="G23" s="67"/>
      <c r="H23" s="29"/>
      <c r="I23" s="97"/>
      <c r="J23" s="97"/>
      <c r="K23" s="29"/>
      <c r="L23" s="29"/>
      <c r="M23" s="67"/>
      <c r="N23" s="29"/>
      <c r="O23" s="30"/>
      <c r="P23" s="30"/>
      <c r="Q23" s="30"/>
    </row>
    <row r="24" spans="2:17" x14ac:dyDescent="0.3">
      <c r="B24" s="29"/>
      <c r="C24" s="97"/>
      <c r="D24" s="97"/>
      <c r="E24" s="29"/>
      <c r="F24" s="29"/>
      <c r="G24" s="67"/>
      <c r="H24" s="29"/>
      <c r="I24" s="97"/>
      <c r="J24" s="97"/>
      <c r="K24" s="29"/>
      <c r="L24" s="29"/>
      <c r="M24" s="67"/>
      <c r="N24" s="29"/>
      <c r="O24" s="30"/>
      <c r="P24" s="30"/>
      <c r="Q24" s="30"/>
    </row>
    <row r="25" spans="2:17" x14ac:dyDescent="0.3">
      <c r="B25" s="29"/>
      <c r="C25" s="97"/>
      <c r="D25" s="97"/>
      <c r="E25" s="29"/>
      <c r="F25" s="29"/>
      <c r="G25" s="67"/>
      <c r="H25" s="29"/>
      <c r="I25" s="97"/>
      <c r="J25" s="97"/>
      <c r="K25" s="29"/>
      <c r="L25" s="29"/>
      <c r="M25" s="67"/>
      <c r="N25" s="29"/>
      <c r="O25" s="30"/>
      <c r="P25" s="30"/>
      <c r="Q25" s="30"/>
    </row>
    <row r="26" spans="2:17" x14ac:dyDescent="0.3">
      <c r="B26" s="29"/>
      <c r="C26" s="97"/>
      <c r="D26" s="97"/>
      <c r="E26" s="29"/>
      <c r="F26" s="29"/>
      <c r="G26" s="67"/>
      <c r="H26" s="29"/>
      <c r="I26" s="97"/>
      <c r="J26" s="97"/>
      <c r="K26" s="29"/>
      <c r="L26" s="29"/>
      <c r="M26" s="67"/>
      <c r="N26" s="29"/>
      <c r="O26" s="30"/>
      <c r="P26" s="30"/>
      <c r="Q26" s="30"/>
    </row>
    <row r="27" spans="2:17" x14ac:dyDescent="0.3">
      <c r="B27" s="29"/>
      <c r="C27" s="97"/>
      <c r="D27" s="97"/>
      <c r="E27" s="29"/>
      <c r="F27" s="29"/>
      <c r="G27" s="67"/>
      <c r="H27" s="29"/>
      <c r="I27" s="97"/>
      <c r="J27" s="97"/>
      <c r="K27" s="29"/>
      <c r="L27" s="29"/>
      <c r="M27" s="67"/>
      <c r="N27" s="29"/>
      <c r="O27" s="30"/>
      <c r="P27" s="30"/>
      <c r="Q27" s="30"/>
    </row>
    <row r="28" spans="2:17" x14ac:dyDescent="0.3">
      <c r="B28" s="29"/>
      <c r="C28" s="97"/>
      <c r="D28" s="97"/>
      <c r="E28" s="29"/>
      <c r="F28" s="29"/>
      <c r="G28" s="67"/>
      <c r="H28" s="29"/>
      <c r="I28" s="97"/>
      <c r="J28" s="97"/>
      <c r="K28" s="29"/>
      <c r="L28" s="29"/>
      <c r="M28" s="67"/>
      <c r="N28" s="29"/>
      <c r="O28" s="30"/>
      <c r="P28" s="30"/>
      <c r="Q28" s="30"/>
    </row>
    <row r="29" spans="2:17" x14ac:dyDescent="0.3">
      <c r="B29" s="29"/>
      <c r="C29" s="97"/>
      <c r="D29" s="97"/>
      <c r="E29" s="29"/>
      <c r="F29" s="29"/>
      <c r="G29" s="67"/>
      <c r="H29" s="29"/>
      <c r="I29" s="97"/>
      <c r="J29" s="97"/>
      <c r="K29" s="29"/>
      <c r="L29" s="29"/>
      <c r="M29" s="67"/>
      <c r="N29" s="29"/>
      <c r="O29" s="30"/>
      <c r="P29" s="30"/>
      <c r="Q29" s="30"/>
    </row>
    <row r="30" spans="2:17" x14ac:dyDescent="0.3">
      <c r="B30" s="29"/>
      <c r="C30" s="97"/>
      <c r="D30" s="97"/>
      <c r="E30" s="29"/>
      <c r="F30" s="29"/>
      <c r="G30" s="67"/>
      <c r="H30" s="29"/>
      <c r="I30" s="97"/>
      <c r="J30" s="97"/>
      <c r="K30" s="29"/>
      <c r="L30" s="29"/>
      <c r="M30" s="67"/>
      <c r="N30" s="29"/>
      <c r="O30" s="30"/>
      <c r="P30" s="30"/>
      <c r="Q30" s="30"/>
    </row>
    <row r="31" spans="2:17" x14ac:dyDescent="0.3">
      <c r="B31" s="29"/>
      <c r="C31" s="97"/>
      <c r="D31" s="97"/>
      <c r="E31" s="29"/>
      <c r="F31" s="29"/>
      <c r="G31" s="67"/>
      <c r="H31" s="29"/>
      <c r="I31" s="97"/>
      <c r="J31" s="97"/>
      <c r="K31" s="29"/>
      <c r="L31" s="29"/>
      <c r="M31" s="67"/>
      <c r="N31" s="29"/>
      <c r="O31" s="30"/>
      <c r="P31" s="30"/>
      <c r="Q31" s="30"/>
    </row>
    <row r="32" spans="2:17" x14ac:dyDescent="0.3">
      <c r="B32" s="29"/>
      <c r="C32" s="97"/>
      <c r="D32" s="97"/>
      <c r="E32" s="29"/>
      <c r="F32" s="29"/>
      <c r="G32" s="67"/>
      <c r="H32" s="29"/>
      <c r="I32" s="97"/>
      <c r="J32" s="97"/>
      <c r="K32" s="29"/>
      <c r="L32" s="29"/>
      <c r="M32" s="67"/>
      <c r="N32" s="29"/>
      <c r="O32" s="30"/>
      <c r="P32" s="30"/>
      <c r="Q32" s="30"/>
    </row>
    <row r="33" spans="2:17" x14ac:dyDescent="0.3">
      <c r="B33" s="29"/>
      <c r="C33" s="97"/>
      <c r="D33" s="97"/>
      <c r="E33" s="29"/>
      <c r="F33" s="29"/>
      <c r="G33" s="67"/>
      <c r="H33" s="29"/>
      <c r="I33" s="97"/>
      <c r="J33" s="97"/>
      <c r="K33" s="29"/>
      <c r="L33" s="29"/>
      <c r="M33" s="67"/>
      <c r="N33" s="29"/>
      <c r="O33" s="30"/>
      <c r="P33" s="30"/>
      <c r="Q33" s="30"/>
    </row>
    <row r="34" spans="2:17" x14ac:dyDescent="0.3">
      <c r="B34" s="29"/>
      <c r="C34" s="97"/>
      <c r="D34" s="97"/>
      <c r="E34" s="29"/>
      <c r="F34" s="29"/>
      <c r="G34" s="67"/>
      <c r="H34" s="29"/>
      <c r="I34" s="97"/>
      <c r="J34" s="97"/>
      <c r="K34" s="29"/>
      <c r="L34" s="29"/>
      <c r="M34" s="67"/>
      <c r="N34" s="29"/>
      <c r="O34" s="30"/>
      <c r="P34" s="30"/>
      <c r="Q34" s="30"/>
    </row>
    <row r="35" spans="2:17" x14ac:dyDescent="0.3">
      <c r="B35" s="29"/>
      <c r="C35" s="97"/>
      <c r="D35" s="97"/>
      <c r="E35" s="29"/>
      <c r="F35" s="29"/>
      <c r="G35" s="67"/>
      <c r="H35" s="29"/>
      <c r="I35" s="97"/>
      <c r="J35" s="97"/>
      <c r="K35" s="29"/>
      <c r="L35" s="29"/>
      <c r="M35" s="67"/>
      <c r="N35" s="29"/>
      <c r="O35" s="30"/>
      <c r="P35" s="30"/>
      <c r="Q35" s="30"/>
    </row>
    <row r="36" spans="2:17" x14ac:dyDescent="0.3">
      <c r="B36" s="29"/>
      <c r="C36" s="97"/>
      <c r="D36" s="97"/>
      <c r="E36" s="29"/>
      <c r="F36" s="29"/>
      <c r="G36" s="67"/>
      <c r="H36" s="29"/>
      <c r="I36" s="97"/>
      <c r="J36" s="97"/>
      <c r="K36" s="29"/>
      <c r="L36" s="29"/>
      <c r="M36" s="67"/>
      <c r="N36" s="29"/>
      <c r="O36" s="30"/>
      <c r="P36" s="30"/>
      <c r="Q36" s="30"/>
    </row>
    <row r="37" spans="2:17" x14ac:dyDescent="0.3">
      <c r="B37" s="29"/>
      <c r="C37" s="97"/>
      <c r="D37" s="97"/>
      <c r="E37" s="29"/>
      <c r="F37" s="29"/>
      <c r="G37" s="67"/>
      <c r="H37" s="29"/>
      <c r="I37" s="97"/>
      <c r="J37" s="97"/>
      <c r="K37" s="29"/>
      <c r="L37" s="29"/>
      <c r="M37" s="67"/>
      <c r="N37" s="29"/>
      <c r="O37" s="30"/>
      <c r="P37" s="30"/>
      <c r="Q37" s="30"/>
    </row>
    <row r="38" spans="2:17" x14ac:dyDescent="0.3">
      <c r="B38" s="29"/>
      <c r="C38" s="97"/>
      <c r="D38" s="97"/>
      <c r="E38" s="29"/>
      <c r="F38" s="29"/>
      <c r="G38" s="67"/>
      <c r="H38" s="29"/>
      <c r="I38" s="97"/>
      <c r="J38" s="97"/>
      <c r="K38" s="29"/>
      <c r="L38" s="29"/>
      <c r="M38" s="67"/>
      <c r="N38" s="29"/>
      <c r="O38" s="30"/>
      <c r="P38" s="30"/>
      <c r="Q38" s="30"/>
    </row>
    <row r="39" spans="2:17" x14ac:dyDescent="0.3">
      <c r="B39" s="29"/>
      <c r="C39" s="97"/>
      <c r="D39" s="97"/>
      <c r="E39" s="29"/>
      <c r="F39" s="29"/>
      <c r="G39" s="67"/>
      <c r="H39" s="29"/>
      <c r="I39" s="97"/>
      <c r="J39" s="97"/>
      <c r="K39" s="29"/>
      <c r="L39" s="29"/>
      <c r="M39" s="67"/>
      <c r="N39" s="29"/>
      <c r="O39" s="30"/>
      <c r="P39" s="30"/>
      <c r="Q39" s="30"/>
    </row>
    <row r="40" spans="2:17" x14ac:dyDescent="0.3">
      <c r="B40" s="29"/>
      <c r="C40" s="97"/>
      <c r="D40" s="97"/>
      <c r="E40" s="29"/>
      <c r="F40" s="29"/>
      <c r="G40" s="67"/>
      <c r="H40" s="29"/>
      <c r="I40" s="97"/>
      <c r="J40" s="97"/>
      <c r="K40" s="29"/>
      <c r="L40" s="29"/>
      <c r="M40" s="67"/>
      <c r="N40" s="29"/>
      <c r="O40" s="30"/>
      <c r="P40" s="30"/>
      <c r="Q40" s="30"/>
    </row>
    <row r="41" spans="2:17" x14ac:dyDescent="0.3">
      <c r="B41" s="29"/>
      <c r="C41" s="97"/>
      <c r="D41" s="97"/>
      <c r="E41" s="29"/>
      <c r="F41" s="29"/>
      <c r="G41" s="67"/>
      <c r="H41" s="29"/>
      <c r="I41" s="97"/>
      <c r="J41" s="97"/>
      <c r="K41" s="29"/>
      <c r="L41" s="29"/>
      <c r="M41" s="67"/>
      <c r="N41" s="29"/>
      <c r="O41" s="30"/>
      <c r="P41" s="30"/>
      <c r="Q41" s="30"/>
    </row>
    <row r="42" spans="2:17" x14ac:dyDescent="0.3">
      <c r="B42" s="29"/>
      <c r="C42" s="97"/>
      <c r="D42" s="97"/>
      <c r="E42" s="29"/>
      <c r="F42" s="29"/>
      <c r="G42" s="67"/>
      <c r="H42" s="29"/>
      <c r="I42" s="97"/>
      <c r="J42" s="97"/>
      <c r="K42" s="29"/>
      <c r="L42" s="29"/>
      <c r="M42" s="67"/>
      <c r="N42" s="29"/>
      <c r="O42" s="30"/>
      <c r="P42" s="30"/>
      <c r="Q42" s="30"/>
    </row>
    <row r="43" spans="2:17" x14ac:dyDescent="0.3">
      <c r="B43" s="29"/>
      <c r="C43" s="97"/>
      <c r="D43" s="97"/>
      <c r="E43" s="29"/>
      <c r="F43" s="29"/>
      <c r="G43" s="67"/>
      <c r="H43" s="29"/>
      <c r="I43" s="97"/>
      <c r="J43" s="97"/>
      <c r="K43" s="29"/>
      <c r="L43" s="29"/>
      <c r="M43" s="67"/>
      <c r="N43" s="29"/>
      <c r="O43" s="30"/>
      <c r="P43" s="30"/>
      <c r="Q43" s="30"/>
    </row>
    <row r="44" spans="2:17" x14ac:dyDescent="0.3">
      <c r="B44" s="29"/>
      <c r="C44" s="97"/>
      <c r="D44" s="97"/>
      <c r="E44" s="29"/>
      <c r="F44" s="29"/>
      <c r="G44" s="67"/>
      <c r="H44" s="29"/>
      <c r="I44" s="97"/>
      <c r="J44" s="97"/>
      <c r="K44" s="29"/>
      <c r="L44" s="29"/>
      <c r="M44" s="67"/>
      <c r="N44" s="29"/>
      <c r="O44" s="30"/>
      <c r="P44" s="30"/>
      <c r="Q44" s="30"/>
    </row>
    <row r="45" spans="2:17" x14ac:dyDescent="0.3">
      <c r="B45" s="29"/>
      <c r="C45" s="97"/>
      <c r="D45" s="97"/>
      <c r="E45" s="29"/>
      <c r="F45" s="29"/>
      <c r="G45" s="67"/>
      <c r="H45" s="29"/>
      <c r="I45" s="97"/>
      <c r="J45" s="97"/>
      <c r="K45" s="29"/>
      <c r="L45" s="29"/>
      <c r="M45" s="67"/>
      <c r="N45" s="29"/>
      <c r="O45" s="30"/>
      <c r="P45" s="30"/>
      <c r="Q45" s="30"/>
    </row>
    <row r="46" spans="2:17" x14ac:dyDescent="0.3">
      <c r="B46" s="29"/>
      <c r="C46" s="97"/>
      <c r="D46" s="97"/>
      <c r="E46" s="29"/>
      <c r="F46" s="29"/>
      <c r="G46" s="67"/>
      <c r="H46" s="29"/>
      <c r="I46" s="97"/>
      <c r="J46" s="97"/>
      <c r="K46" s="29"/>
      <c r="L46" s="29"/>
      <c r="M46" s="67"/>
      <c r="N46" s="29"/>
      <c r="O46" s="30"/>
      <c r="P46" s="30"/>
      <c r="Q46" s="30"/>
    </row>
    <row r="47" spans="2:17" x14ac:dyDescent="0.3">
      <c r="B47" s="29"/>
      <c r="C47" s="97"/>
      <c r="D47" s="97"/>
      <c r="E47" s="29"/>
      <c r="F47" s="29"/>
      <c r="G47" s="67"/>
      <c r="H47" s="29"/>
      <c r="I47" s="97"/>
      <c r="J47" s="97"/>
      <c r="K47" s="29"/>
      <c r="L47" s="29"/>
      <c r="M47" s="67"/>
      <c r="N47" s="29"/>
      <c r="O47" s="30"/>
      <c r="P47" s="30"/>
      <c r="Q47" s="30"/>
    </row>
    <row r="48" spans="2:17" x14ac:dyDescent="0.3">
      <c r="B48" s="29"/>
      <c r="C48" s="97"/>
      <c r="D48" s="97"/>
      <c r="E48" s="29"/>
      <c r="F48" s="29"/>
      <c r="G48" s="67"/>
      <c r="H48" s="29"/>
      <c r="I48" s="97"/>
      <c r="J48" s="97"/>
      <c r="K48" s="29"/>
      <c r="L48" s="29"/>
      <c r="M48" s="67"/>
      <c r="N48" s="29"/>
      <c r="O48" s="30"/>
      <c r="P48" s="30"/>
      <c r="Q48" s="30"/>
    </row>
    <row r="49" spans="2:17" x14ac:dyDescent="0.3">
      <c r="B49" s="29"/>
      <c r="C49" s="97"/>
      <c r="D49" s="97"/>
      <c r="E49" s="29"/>
      <c r="F49" s="29"/>
      <c r="G49" s="67"/>
      <c r="H49" s="29"/>
      <c r="I49" s="97"/>
      <c r="J49" s="97"/>
      <c r="K49" s="29"/>
      <c r="L49" s="29"/>
      <c r="M49" s="67"/>
      <c r="N49" s="29"/>
      <c r="O49" s="30"/>
      <c r="P49" s="30"/>
      <c r="Q49" s="30"/>
    </row>
    <row r="50" spans="2:17" x14ac:dyDescent="0.3">
      <c r="B50" s="29"/>
      <c r="C50" s="97"/>
      <c r="D50" s="97"/>
      <c r="E50" s="29"/>
      <c r="F50" s="29"/>
      <c r="G50" s="67"/>
      <c r="H50" s="29"/>
      <c r="I50" s="97"/>
      <c r="J50" s="97"/>
      <c r="K50" s="29"/>
      <c r="L50" s="29"/>
      <c r="M50" s="67"/>
      <c r="N50" s="29"/>
      <c r="O50" s="30"/>
      <c r="P50" s="30"/>
      <c r="Q50" s="30"/>
    </row>
    <row r="51" spans="2:17" x14ac:dyDescent="0.3">
      <c r="B51" s="29"/>
      <c r="C51" s="97"/>
      <c r="D51" s="97"/>
      <c r="E51" s="29"/>
      <c r="F51" s="29"/>
      <c r="G51" s="67"/>
      <c r="H51" s="29"/>
      <c r="I51" s="97"/>
      <c r="J51" s="97"/>
      <c r="K51" s="29"/>
      <c r="L51" s="29"/>
      <c r="M51" s="67"/>
      <c r="N51" s="29"/>
      <c r="O51" s="30"/>
      <c r="P51" s="30"/>
      <c r="Q51" s="30"/>
    </row>
    <row r="52" spans="2:17" x14ac:dyDescent="0.3">
      <c r="B52" s="29"/>
      <c r="C52" s="97"/>
      <c r="D52" s="97"/>
      <c r="E52" s="29"/>
      <c r="F52" s="29"/>
      <c r="G52" s="67"/>
      <c r="H52" s="29"/>
      <c r="I52" s="97"/>
      <c r="J52" s="97"/>
      <c r="K52" s="29"/>
      <c r="L52" s="29"/>
      <c r="M52" s="67"/>
      <c r="N52" s="29"/>
      <c r="O52" s="30"/>
      <c r="P52" s="30"/>
      <c r="Q52" s="30"/>
    </row>
    <row r="53" spans="2:17" x14ac:dyDescent="0.3">
      <c r="B53" s="29"/>
      <c r="C53" s="97"/>
      <c r="D53" s="97"/>
      <c r="E53" s="29"/>
      <c r="F53" s="29"/>
      <c r="G53" s="67"/>
      <c r="H53" s="29"/>
      <c r="I53" s="97"/>
      <c r="J53" s="97"/>
      <c r="K53" s="29"/>
      <c r="L53" s="29"/>
      <c r="M53" s="67"/>
      <c r="N53" s="29"/>
      <c r="O53" s="30"/>
      <c r="P53" s="30"/>
      <c r="Q53" s="30"/>
    </row>
    <row r="54" spans="2:17" x14ac:dyDescent="0.3">
      <c r="B54" s="29"/>
      <c r="C54" s="97"/>
      <c r="D54" s="97"/>
      <c r="E54" s="29"/>
      <c r="F54" s="29"/>
      <c r="G54" s="67"/>
      <c r="H54" s="29"/>
      <c r="I54" s="97"/>
      <c r="J54" s="97"/>
      <c r="K54" s="29"/>
      <c r="L54" s="29"/>
      <c r="M54" s="67"/>
      <c r="N54" s="29"/>
      <c r="O54" s="30"/>
      <c r="P54" s="30"/>
      <c r="Q54" s="30"/>
    </row>
    <row r="55" spans="2:17" x14ac:dyDescent="0.3">
      <c r="B55" s="29"/>
      <c r="C55" s="97"/>
      <c r="D55" s="97"/>
      <c r="E55" s="29"/>
      <c r="F55" s="29"/>
      <c r="G55" s="67"/>
      <c r="H55" s="29"/>
      <c r="I55" s="97"/>
      <c r="J55" s="97"/>
      <c r="K55" s="29"/>
      <c r="L55" s="29"/>
      <c r="M55" s="67"/>
      <c r="N55" s="29"/>
      <c r="O55" s="30"/>
      <c r="P55" s="30"/>
      <c r="Q55" s="30"/>
    </row>
    <row r="56" spans="2:17" x14ac:dyDescent="0.3">
      <c r="B56" s="29"/>
      <c r="C56" s="97"/>
      <c r="D56" s="97"/>
      <c r="E56" s="29"/>
      <c r="F56" s="29"/>
      <c r="G56" s="67"/>
      <c r="H56" s="29"/>
      <c r="I56" s="97"/>
      <c r="J56" s="97"/>
      <c r="K56" s="29"/>
      <c r="L56" s="29"/>
      <c r="M56" s="67"/>
      <c r="N56" s="29"/>
      <c r="O56" s="30"/>
      <c r="P56" s="30"/>
      <c r="Q56" s="30"/>
    </row>
    <row r="57" spans="2:17" x14ac:dyDescent="0.3">
      <c r="B57" s="29"/>
      <c r="C57" s="97"/>
      <c r="D57" s="97"/>
      <c r="E57" s="29"/>
      <c r="F57" s="29"/>
      <c r="G57" s="67"/>
      <c r="H57" s="29"/>
      <c r="I57" s="97"/>
      <c r="J57" s="97"/>
      <c r="K57" s="29"/>
      <c r="L57" s="29"/>
      <c r="M57" s="67"/>
      <c r="N57" s="29"/>
      <c r="O57" s="30"/>
      <c r="P57" s="30"/>
      <c r="Q57" s="30"/>
    </row>
    <row r="58" spans="2:17" x14ac:dyDescent="0.3">
      <c r="B58" s="29"/>
      <c r="C58" s="97"/>
      <c r="D58" s="97"/>
      <c r="E58" s="29"/>
      <c r="F58" s="29"/>
      <c r="G58" s="67"/>
      <c r="H58" s="29"/>
      <c r="I58" s="97"/>
      <c r="J58" s="97"/>
      <c r="K58" s="29"/>
      <c r="L58" s="29"/>
      <c r="M58" s="67"/>
      <c r="N58" s="29"/>
      <c r="O58" s="30"/>
      <c r="P58" s="30"/>
      <c r="Q58" s="30"/>
    </row>
    <row r="59" spans="2:17" x14ac:dyDescent="0.3">
      <c r="B59" s="29"/>
      <c r="C59" s="97"/>
      <c r="D59" s="97"/>
      <c r="E59" s="29"/>
      <c r="F59" s="29"/>
      <c r="G59" s="67"/>
      <c r="H59" s="29"/>
      <c r="I59" s="97"/>
      <c r="J59" s="97"/>
      <c r="K59" s="29"/>
      <c r="L59" s="29"/>
      <c r="M59" s="67"/>
      <c r="N59" s="29"/>
      <c r="O59" s="30"/>
      <c r="P59" s="30"/>
      <c r="Q59" s="30"/>
    </row>
    <row r="60" spans="2:17" x14ac:dyDescent="0.3">
      <c r="B60" s="29"/>
      <c r="C60" s="97"/>
      <c r="D60" s="97"/>
      <c r="E60" s="29"/>
      <c r="F60" s="29"/>
      <c r="G60" s="67"/>
      <c r="H60" s="29"/>
      <c r="I60" s="97"/>
      <c r="J60" s="97"/>
      <c r="K60" s="29"/>
      <c r="L60" s="29"/>
      <c r="M60" s="67"/>
      <c r="N60" s="29"/>
      <c r="O60" s="30"/>
      <c r="P60" s="30"/>
      <c r="Q60" s="30"/>
    </row>
    <row r="61" spans="2:17" x14ac:dyDescent="0.3">
      <c r="B61" s="29"/>
      <c r="C61" s="97"/>
      <c r="D61" s="97"/>
      <c r="E61" s="29"/>
      <c r="F61" s="29"/>
      <c r="G61" s="67"/>
      <c r="H61" s="29"/>
      <c r="I61" s="97"/>
      <c r="J61" s="97"/>
      <c r="K61" s="29"/>
      <c r="L61" s="29"/>
      <c r="M61" s="67"/>
      <c r="N61" s="29"/>
      <c r="O61" s="30"/>
      <c r="P61" s="30"/>
      <c r="Q61" s="30"/>
    </row>
    <row r="62" spans="2:17" x14ac:dyDescent="0.3">
      <c r="B62" s="29"/>
      <c r="C62" s="97"/>
      <c r="D62" s="97"/>
      <c r="E62" s="29"/>
      <c r="F62" s="29"/>
      <c r="G62" s="67"/>
      <c r="H62" s="29"/>
      <c r="I62" s="97"/>
      <c r="J62" s="97"/>
      <c r="K62" s="29"/>
      <c r="L62" s="29"/>
      <c r="M62" s="67"/>
      <c r="N62" s="29"/>
      <c r="O62" s="30"/>
      <c r="P62" s="30"/>
      <c r="Q62" s="30"/>
    </row>
    <row r="63" spans="2:17" x14ac:dyDescent="0.3">
      <c r="B63" s="29"/>
      <c r="C63" s="97"/>
      <c r="D63" s="97"/>
      <c r="E63" s="29"/>
      <c r="F63" s="29"/>
      <c r="G63" s="67"/>
      <c r="H63" s="29"/>
      <c r="I63" s="97"/>
      <c r="J63" s="97"/>
      <c r="K63" s="29"/>
      <c r="L63" s="29"/>
      <c r="M63" s="67"/>
      <c r="N63" s="29"/>
      <c r="O63" s="30"/>
      <c r="P63" s="30"/>
      <c r="Q63" s="30"/>
    </row>
    <row r="64" spans="2:17" x14ac:dyDescent="0.3">
      <c r="B64" s="29"/>
      <c r="C64" s="97"/>
      <c r="D64" s="97"/>
      <c r="E64" s="29"/>
      <c r="F64" s="29"/>
      <c r="G64" s="67"/>
      <c r="H64" s="29"/>
      <c r="I64" s="97"/>
      <c r="J64" s="97"/>
      <c r="K64" s="29"/>
      <c r="L64" s="29"/>
      <c r="M64" s="67"/>
      <c r="N64" s="29"/>
      <c r="O64" s="30"/>
      <c r="P64" s="30"/>
      <c r="Q64" s="30"/>
    </row>
    <row r="65" spans="2:17" x14ac:dyDescent="0.3">
      <c r="B65" s="29"/>
      <c r="C65" s="97"/>
      <c r="D65" s="97"/>
      <c r="E65" s="29"/>
      <c r="F65" s="29"/>
      <c r="G65" s="67"/>
      <c r="H65" s="29"/>
      <c r="I65" s="97"/>
      <c r="J65" s="97"/>
      <c r="K65" s="29"/>
      <c r="L65" s="29"/>
      <c r="M65" s="67"/>
      <c r="N65" s="29"/>
      <c r="O65" s="30"/>
      <c r="P65" s="30"/>
      <c r="Q65" s="30"/>
    </row>
    <row r="66" spans="2:17" x14ac:dyDescent="0.3">
      <c r="B66" s="29"/>
      <c r="C66" s="97"/>
      <c r="D66" s="97"/>
      <c r="E66" s="29"/>
      <c r="F66" s="29"/>
      <c r="G66" s="67"/>
      <c r="H66" s="29"/>
      <c r="I66" s="97"/>
      <c r="J66" s="97"/>
      <c r="K66" s="29"/>
      <c r="L66" s="29"/>
      <c r="M66" s="67"/>
      <c r="N66" s="29"/>
      <c r="O66" s="30"/>
      <c r="P66" s="30"/>
      <c r="Q66" s="30"/>
    </row>
    <row r="67" spans="2:17" x14ac:dyDescent="0.3">
      <c r="B67" s="29"/>
      <c r="C67" s="97"/>
      <c r="D67" s="97"/>
      <c r="E67" s="29"/>
      <c r="F67" s="29"/>
      <c r="G67" s="67"/>
      <c r="H67" s="29"/>
      <c r="I67" s="97"/>
      <c r="J67" s="97"/>
      <c r="K67" s="29"/>
      <c r="L67" s="29"/>
      <c r="M67" s="67"/>
      <c r="N67" s="29"/>
      <c r="O67" s="30"/>
      <c r="P67" s="30"/>
      <c r="Q67" s="30"/>
    </row>
    <row r="68" spans="2:17" x14ac:dyDescent="0.3">
      <c r="B68" s="29"/>
      <c r="C68" s="97"/>
      <c r="D68" s="97"/>
      <c r="E68" s="29"/>
      <c r="F68" s="29"/>
      <c r="G68" s="67"/>
      <c r="H68" s="29"/>
      <c r="I68" s="97"/>
      <c r="J68" s="97"/>
      <c r="K68" s="29"/>
      <c r="L68" s="29"/>
      <c r="M68" s="67"/>
      <c r="N68" s="29"/>
      <c r="O68" s="30"/>
      <c r="P68" s="30"/>
      <c r="Q68" s="30"/>
    </row>
    <row r="69" spans="2:17" x14ac:dyDescent="0.3">
      <c r="B69" s="29"/>
      <c r="C69" s="97"/>
      <c r="D69" s="97"/>
      <c r="E69" s="29"/>
      <c r="F69" s="29"/>
      <c r="G69" s="67"/>
      <c r="H69" s="29"/>
      <c r="I69" s="97"/>
      <c r="J69" s="97"/>
      <c r="K69" s="29"/>
      <c r="L69" s="29"/>
      <c r="M69" s="67"/>
      <c r="N69" s="29"/>
      <c r="O69" s="30"/>
      <c r="P69" s="30"/>
      <c r="Q69" s="30"/>
    </row>
    <row r="70" spans="2:17" x14ac:dyDescent="0.3">
      <c r="B70" s="29"/>
      <c r="C70" s="97"/>
      <c r="D70" s="97"/>
      <c r="E70" s="29"/>
      <c r="F70" s="29"/>
      <c r="G70" s="67"/>
      <c r="H70" s="29"/>
      <c r="I70" s="97"/>
      <c r="J70" s="97"/>
      <c r="K70" s="29"/>
      <c r="L70" s="29"/>
      <c r="M70" s="67"/>
      <c r="N70" s="29"/>
      <c r="O70" s="30"/>
      <c r="P70" s="30"/>
      <c r="Q70" s="30"/>
    </row>
    <row r="71" spans="2:17" x14ac:dyDescent="0.3">
      <c r="B71" s="29"/>
      <c r="C71" s="97"/>
      <c r="D71" s="97"/>
      <c r="E71" s="29"/>
      <c r="F71" s="29"/>
      <c r="G71" s="67"/>
      <c r="H71" s="29"/>
      <c r="I71" s="97"/>
      <c r="J71" s="97"/>
      <c r="K71" s="29"/>
      <c r="L71" s="29"/>
      <c r="M71" s="67"/>
      <c r="N71" s="29"/>
      <c r="O71" s="30"/>
      <c r="P71" s="30"/>
      <c r="Q71" s="30"/>
    </row>
    <row r="72" spans="2:17" x14ac:dyDescent="0.3">
      <c r="B72" s="29"/>
      <c r="C72" s="97"/>
      <c r="D72" s="97"/>
      <c r="E72" s="29"/>
      <c r="F72" s="29"/>
      <c r="G72" s="67"/>
      <c r="H72" s="29"/>
      <c r="I72" s="97"/>
      <c r="J72" s="97"/>
      <c r="K72" s="29"/>
      <c r="L72" s="29"/>
      <c r="M72" s="67"/>
      <c r="N72" s="29"/>
      <c r="O72" s="30"/>
      <c r="P72" s="30"/>
      <c r="Q72" s="30"/>
    </row>
    <row r="73" spans="2:17" x14ac:dyDescent="0.3">
      <c r="B73" s="29"/>
      <c r="C73" s="97"/>
      <c r="D73" s="97"/>
      <c r="E73" s="29"/>
      <c r="F73" s="29"/>
      <c r="G73" s="67"/>
      <c r="H73" s="29"/>
      <c r="I73" s="97"/>
      <c r="J73" s="97"/>
      <c r="K73" s="29"/>
      <c r="L73" s="29"/>
      <c r="M73" s="67"/>
      <c r="N73" s="29"/>
      <c r="O73" s="30"/>
      <c r="P73" s="30"/>
      <c r="Q73" s="30"/>
    </row>
    <row r="74" spans="2:17" x14ac:dyDescent="0.3">
      <c r="B74" s="29"/>
      <c r="C74" s="97"/>
      <c r="D74" s="97"/>
      <c r="E74" s="29"/>
      <c r="F74" s="29"/>
      <c r="G74" s="67"/>
      <c r="H74" s="29"/>
      <c r="I74" s="97"/>
      <c r="J74" s="97"/>
      <c r="K74" s="29"/>
      <c r="L74" s="29"/>
      <c r="M74" s="67"/>
      <c r="N74" s="29"/>
      <c r="O74" s="30"/>
      <c r="P74" s="30"/>
      <c r="Q74" s="30"/>
    </row>
    <row r="75" spans="2:17" x14ac:dyDescent="0.3">
      <c r="B75" s="29"/>
      <c r="C75" s="97"/>
      <c r="D75" s="97"/>
      <c r="E75" s="29"/>
      <c r="F75" s="29"/>
      <c r="G75" s="67"/>
      <c r="H75" s="29"/>
      <c r="I75" s="97"/>
      <c r="J75" s="97"/>
      <c r="K75" s="29"/>
      <c r="L75" s="29"/>
      <c r="M75" s="67"/>
      <c r="N75" s="29"/>
      <c r="O75" s="30"/>
      <c r="P75" s="30"/>
      <c r="Q75" s="30"/>
    </row>
    <row r="76" spans="2:17" x14ac:dyDescent="0.3">
      <c r="B76" s="29"/>
      <c r="C76" s="97"/>
      <c r="D76" s="97"/>
      <c r="E76" s="29"/>
      <c r="F76" s="29"/>
      <c r="G76" s="67"/>
      <c r="H76" s="29"/>
      <c r="I76" s="97"/>
      <c r="J76" s="97"/>
      <c r="K76" s="29"/>
      <c r="L76" s="29"/>
      <c r="M76" s="67"/>
      <c r="N76" s="29"/>
      <c r="O76" s="30"/>
      <c r="P76" s="30"/>
      <c r="Q76" s="30"/>
    </row>
    <row r="77" spans="2:17" x14ac:dyDescent="0.3">
      <c r="B77" s="29"/>
      <c r="C77" s="97"/>
      <c r="D77" s="97"/>
      <c r="E77" s="29"/>
      <c r="F77" s="29"/>
      <c r="G77" s="67"/>
      <c r="H77" s="29"/>
      <c r="I77" s="97"/>
      <c r="J77" s="97"/>
      <c r="K77" s="29"/>
      <c r="L77" s="29"/>
      <c r="M77" s="67"/>
      <c r="N77" s="29"/>
      <c r="O77" s="30"/>
      <c r="P77" s="30"/>
      <c r="Q77" s="30"/>
    </row>
    <row r="78" spans="2:17" x14ac:dyDescent="0.3">
      <c r="B78" s="29"/>
      <c r="C78" s="97"/>
      <c r="D78" s="97"/>
      <c r="E78" s="29"/>
      <c r="F78" s="29"/>
      <c r="G78" s="67"/>
      <c r="H78" s="29"/>
      <c r="I78" s="97"/>
      <c r="J78" s="97"/>
      <c r="K78" s="29"/>
      <c r="L78" s="29"/>
      <c r="M78" s="67"/>
      <c r="N78" s="29"/>
      <c r="O78" s="30"/>
      <c r="P78" s="30"/>
      <c r="Q78" s="30"/>
    </row>
    <row r="79" spans="2:17" x14ac:dyDescent="0.3">
      <c r="B79" s="29"/>
      <c r="C79" s="97"/>
      <c r="D79" s="97"/>
      <c r="E79" s="29"/>
      <c r="F79" s="29"/>
      <c r="G79" s="67"/>
      <c r="H79" s="29"/>
      <c r="I79" s="97"/>
      <c r="J79" s="97"/>
      <c r="K79" s="29"/>
      <c r="L79" s="29"/>
      <c r="M79" s="67"/>
      <c r="N79" s="29"/>
      <c r="O79" s="30"/>
      <c r="P79" s="30"/>
      <c r="Q79" s="30"/>
    </row>
    <row r="80" spans="2:17" x14ac:dyDescent="0.3">
      <c r="B80" s="29"/>
      <c r="C80" s="97"/>
      <c r="D80" s="97"/>
      <c r="E80" s="29"/>
      <c r="F80" s="29"/>
      <c r="G80" s="67"/>
      <c r="H80" s="29"/>
      <c r="I80" s="97"/>
      <c r="J80" s="97"/>
      <c r="K80" s="29"/>
      <c r="L80" s="29"/>
      <c r="M80" s="67"/>
      <c r="N80" s="29"/>
      <c r="O80" s="30"/>
      <c r="P80" s="30"/>
      <c r="Q80" s="30"/>
    </row>
    <row r="81" spans="2:17" x14ac:dyDescent="0.3">
      <c r="B81" s="29"/>
      <c r="C81" s="97"/>
      <c r="D81" s="97"/>
      <c r="E81" s="29"/>
      <c r="F81" s="29"/>
      <c r="G81" s="67"/>
      <c r="H81" s="29"/>
      <c r="I81" s="97"/>
      <c r="J81" s="97"/>
      <c r="K81" s="29"/>
      <c r="L81" s="29"/>
      <c r="M81" s="67"/>
      <c r="N81" s="29"/>
      <c r="O81" s="30"/>
      <c r="P81" s="30"/>
      <c r="Q81" s="30"/>
    </row>
    <row r="82" spans="2:17" x14ac:dyDescent="0.3">
      <c r="B82" s="29"/>
      <c r="C82" s="97"/>
      <c r="D82" s="97"/>
      <c r="E82" s="29"/>
      <c r="F82" s="29"/>
      <c r="G82" s="67"/>
      <c r="H82" s="29"/>
      <c r="I82" s="97"/>
      <c r="J82" s="97"/>
      <c r="K82" s="29"/>
      <c r="L82" s="29"/>
      <c r="M82" s="67"/>
      <c r="N82" s="29"/>
      <c r="O82" s="30"/>
      <c r="P82" s="30"/>
      <c r="Q82" s="30"/>
    </row>
    <row r="83" spans="2:17" x14ac:dyDescent="0.3">
      <c r="B83" s="29"/>
      <c r="C83" s="97"/>
      <c r="D83" s="97"/>
      <c r="E83" s="29"/>
      <c r="F83" s="29"/>
      <c r="G83" s="67"/>
      <c r="H83" s="29"/>
      <c r="I83" s="97"/>
      <c r="J83" s="97"/>
      <c r="K83" s="29"/>
      <c r="L83" s="29"/>
      <c r="M83" s="67"/>
      <c r="N83" s="29"/>
      <c r="O83" s="30"/>
      <c r="P83" s="30"/>
      <c r="Q83" s="30"/>
    </row>
    <row r="84" spans="2:17" x14ac:dyDescent="0.3">
      <c r="B84" s="29"/>
      <c r="C84" s="97"/>
      <c r="D84" s="97"/>
      <c r="E84" s="29"/>
      <c r="F84" s="29"/>
      <c r="G84" s="67"/>
      <c r="H84" s="29"/>
      <c r="I84" s="97"/>
      <c r="J84" s="97"/>
      <c r="K84" s="29"/>
      <c r="L84" s="29"/>
      <c r="M84" s="67"/>
      <c r="N84" s="29"/>
      <c r="O84" s="30"/>
      <c r="P84" s="30"/>
      <c r="Q84" s="30"/>
    </row>
    <row r="85" spans="2:17" x14ac:dyDescent="0.3">
      <c r="B85" s="29"/>
      <c r="C85" s="97"/>
      <c r="D85" s="97"/>
      <c r="E85" s="29"/>
      <c r="F85" s="29"/>
      <c r="G85" s="67"/>
      <c r="H85" s="29"/>
      <c r="I85" s="97"/>
      <c r="J85" s="97"/>
      <c r="K85" s="29"/>
      <c r="L85" s="29"/>
      <c r="M85" s="67"/>
      <c r="N85" s="29"/>
      <c r="O85" s="30"/>
      <c r="P85" s="30"/>
      <c r="Q85" s="30"/>
    </row>
    <row r="86" spans="2:17" x14ac:dyDescent="0.3">
      <c r="B86" s="29"/>
      <c r="C86" s="97"/>
      <c r="D86" s="97"/>
      <c r="E86" s="29"/>
      <c r="F86" s="29"/>
      <c r="G86" s="67"/>
      <c r="H86" s="29"/>
      <c r="I86" s="97"/>
      <c r="J86" s="97"/>
      <c r="K86" s="29"/>
      <c r="L86" s="29"/>
      <c r="M86" s="67"/>
      <c r="N86" s="29"/>
      <c r="O86" s="30"/>
      <c r="P86" s="30"/>
      <c r="Q86" s="30"/>
    </row>
    <row r="87" spans="2:17" x14ac:dyDescent="0.3">
      <c r="B87" s="29"/>
      <c r="C87" s="97"/>
      <c r="D87" s="97"/>
      <c r="E87" s="29"/>
      <c r="F87" s="29"/>
      <c r="G87" s="67"/>
      <c r="H87" s="29"/>
      <c r="I87" s="97"/>
      <c r="J87" s="97"/>
      <c r="K87" s="29"/>
      <c r="L87" s="29"/>
      <c r="M87" s="67"/>
      <c r="N87" s="29"/>
      <c r="O87" s="30"/>
      <c r="P87" s="30"/>
      <c r="Q87" s="30"/>
    </row>
    <row r="88" spans="2:17" x14ac:dyDescent="0.3">
      <c r="B88" s="29"/>
      <c r="C88" s="97"/>
      <c r="D88" s="97"/>
      <c r="E88" s="29"/>
      <c r="F88" s="29"/>
      <c r="G88" s="67"/>
      <c r="H88" s="29"/>
      <c r="I88" s="97"/>
      <c r="J88" s="97"/>
      <c r="K88" s="29"/>
      <c r="L88" s="29"/>
      <c r="M88" s="67"/>
      <c r="N88" s="29"/>
      <c r="O88" s="30"/>
      <c r="P88" s="30"/>
      <c r="Q88" s="30"/>
    </row>
    <row r="89" spans="2:17" x14ac:dyDescent="0.3">
      <c r="B89" s="29"/>
      <c r="C89" s="97"/>
      <c r="D89" s="97"/>
      <c r="E89" s="29"/>
      <c r="F89" s="29"/>
      <c r="G89" s="67"/>
      <c r="H89" s="29"/>
      <c r="I89" s="97"/>
      <c r="J89" s="97"/>
      <c r="K89" s="29"/>
      <c r="L89" s="29"/>
      <c r="M89" s="67"/>
      <c r="N89" s="29"/>
      <c r="O89" s="30"/>
      <c r="P89" s="30"/>
      <c r="Q89" s="30"/>
    </row>
    <row r="90" spans="2:17" x14ac:dyDescent="0.3">
      <c r="B90" s="29"/>
      <c r="C90" s="97"/>
      <c r="D90" s="97"/>
      <c r="E90" s="29"/>
      <c r="F90" s="29"/>
      <c r="G90" s="67"/>
      <c r="H90" s="29"/>
      <c r="I90" s="97"/>
      <c r="J90" s="97"/>
      <c r="K90" s="29"/>
      <c r="L90" s="29"/>
      <c r="M90" s="67"/>
      <c r="N90" s="29"/>
      <c r="O90" s="30"/>
      <c r="P90" s="30"/>
      <c r="Q90" s="30"/>
    </row>
    <row r="91" spans="2:17" x14ac:dyDescent="0.3">
      <c r="B91" s="29"/>
      <c r="C91" s="97"/>
      <c r="D91" s="97"/>
      <c r="E91" s="29"/>
      <c r="F91" s="29"/>
      <c r="G91" s="67"/>
      <c r="H91" s="29"/>
      <c r="I91" s="97"/>
      <c r="J91" s="97"/>
      <c r="K91" s="29"/>
      <c r="L91" s="29"/>
      <c r="M91" s="67"/>
      <c r="N91" s="29"/>
      <c r="O91" s="30"/>
      <c r="P91" s="30"/>
      <c r="Q91" s="30"/>
    </row>
    <row r="92" spans="2:17" x14ac:dyDescent="0.3">
      <c r="B92" s="29"/>
      <c r="C92" s="97"/>
      <c r="D92" s="97"/>
      <c r="E92" s="29"/>
      <c r="F92" s="29"/>
      <c r="G92" s="67"/>
      <c r="H92" s="29"/>
      <c r="I92" s="97"/>
      <c r="J92" s="97"/>
      <c r="K92" s="29"/>
      <c r="L92" s="29"/>
      <c r="M92" s="67"/>
      <c r="N92" s="29"/>
      <c r="O92" s="30"/>
      <c r="P92" s="30"/>
      <c r="Q92" s="30"/>
    </row>
    <row r="93" spans="2:17" x14ac:dyDescent="0.3">
      <c r="B93" s="29"/>
      <c r="C93" s="97"/>
      <c r="D93" s="97"/>
      <c r="E93" s="29"/>
      <c r="F93" s="29"/>
      <c r="G93" s="67"/>
      <c r="H93" s="29"/>
      <c r="I93" s="97"/>
      <c r="J93" s="97"/>
      <c r="K93" s="29"/>
      <c r="L93" s="29"/>
      <c r="M93" s="67"/>
      <c r="N93" s="29"/>
      <c r="O93" s="30"/>
      <c r="P93" s="30"/>
      <c r="Q93" s="30"/>
    </row>
    <row r="94" spans="2:17" x14ac:dyDescent="0.3">
      <c r="B94" s="29"/>
      <c r="C94" s="97"/>
      <c r="D94" s="97"/>
      <c r="E94" s="29"/>
      <c r="F94" s="29"/>
      <c r="G94" s="67"/>
      <c r="H94" s="29"/>
      <c r="I94" s="97"/>
      <c r="J94" s="97"/>
      <c r="K94" s="29"/>
      <c r="L94" s="29"/>
      <c r="M94" s="67"/>
      <c r="N94" s="29"/>
      <c r="O94" s="30"/>
      <c r="P94" s="30"/>
      <c r="Q94" s="30"/>
    </row>
    <row r="95" spans="2:17" x14ac:dyDescent="0.3">
      <c r="B95" s="29"/>
      <c r="C95" s="97"/>
      <c r="D95" s="97"/>
      <c r="E95" s="29"/>
      <c r="F95" s="29"/>
      <c r="G95" s="67"/>
      <c r="H95" s="29"/>
      <c r="I95" s="97"/>
      <c r="J95" s="97"/>
      <c r="K95" s="29"/>
      <c r="L95" s="29"/>
      <c r="M95" s="67"/>
      <c r="N95" s="29"/>
      <c r="O95" s="30"/>
      <c r="P95" s="30"/>
      <c r="Q95" s="30"/>
    </row>
    <row r="96" spans="2:17" x14ac:dyDescent="0.3">
      <c r="B96" s="29"/>
      <c r="C96" s="97"/>
      <c r="D96" s="97"/>
      <c r="E96" s="29"/>
      <c r="F96" s="29"/>
      <c r="G96" s="67"/>
      <c r="H96" s="29"/>
      <c r="I96" s="97"/>
      <c r="J96" s="97"/>
      <c r="K96" s="29"/>
      <c r="L96" s="29"/>
      <c r="M96" s="67"/>
      <c r="N96" s="29"/>
      <c r="O96" s="30"/>
      <c r="P96" s="30"/>
      <c r="Q96" s="30"/>
    </row>
    <row r="97" spans="2:17" x14ac:dyDescent="0.3">
      <c r="B97" s="29"/>
      <c r="C97" s="97"/>
      <c r="D97" s="97"/>
      <c r="E97" s="29"/>
      <c r="F97" s="29"/>
      <c r="G97" s="67"/>
      <c r="H97" s="29"/>
      <c r="I97" s="97"/>
      <c r="J97" s="97"/>
      <c r="K97" s="29"/>
      <c r="L97" s="29"/>
      <c r="M97" s="67"/>
      <c r="N97" s="29"/>
      <c r="O97" s="30"/>
      <c r="P97" s="30"/>
      <c r="Q97" s="30"/>
    </row>
    <row r="98" spans="2:17" x14ac:dyDescent="0.3">
      <c r="B98" s="29"/>
      <c r="C98" s="97"/>
      <c r="D98" s="97"/>
      <c r="E98" s="29"/>
      <c r="F98" s="29"/>
      <c r="G98" s="67"/>
      <c r="H98" s="29"/>
      <c r="I98" s="97"/>
      <c r="J98" s="97"/>
      <c r="K98" s="29"/>
      <c r="L98" s="29"/>
      <c r="M98" s="67"/>
      <c r="N98" s="29"/>
      <c r="O98" s="30"/>
      <c r="P98" s="30"/>
      <c r="Q98" s="30"/>
    </row>
    <row r="99" spans="2:17" x14ac:dyDescent="0.3">
      <c r="B99" s="29"/>
      <c r="C99" s="97"/>
      <c r="D99" s="97"/>
      <c r="E99" s="29"/>
      <c r="F99" s="29"/>
      <c r="G99" s="67"/>
      <c r="H99" s="29"/>
      <c r="I99" s="97"/>
      <c r="J99" s="97"/>
      <c r="K99" s="29"/>
      <c r="L99" s="29"/>
      <c r="M99" s="67"/>
      <c r="N99" s="29"/>
      <c r="O99" s="30"/>
      <c r="P99" s="30"/>
      <c r="Q99" s="30"/>
    </row>
    <row r="100" spans="2:17" x14ac:dyDescent="0.3">
      <c r="B100" s="29"/>
      <c r="C100" s="97"/>
      <c r="D100" s="97"/>
      <c r="E100" s="29"/>
      <c r="F100" s="29"/>
      <c r="G100" s="67"/>
      <c r="H100" s="29"/>
      <c r="I100" s="97"/>
      <c r="J100" s="97"/>
      <c r="K100" s="29"/>
      <c r="L100" s="29"/>
      <c r="M100" s="67"/>
      <c r="N100" s="29"/>
      <c r="O100" s="30"/>
      <c r="P100" s="30"/>
      <c r="Q100" s="30"/>
    </row>
    <row r="101" spans="2:17" x14ac:dyDescent="0.3">
      <c r="B101" s="29"/>
      <c r="C101" s="97"/>
      <c r="D101" s="97"/>
      <c r="E101" s="29"/>
      <c r="F101" s="29"/>
      <c r="G101" s="67"/>
      <c r="H101" s="29"/>
      <c r="I101" s="97"/>
      <c r="J101" s="97"/>
      <c r="K101" s="29"/>
      <c r="L101" s="29"/>
      <c r="M101" s="67"/>
      <c r="N101" s="29"/>
      <c r="O101" s="30"/>
      <c r="P101" s="30"/>
      <c r="Q101" s="30"/>
    </row>
    <row r="102" spans="2:17" x14ac:dyDescent="0.3">
      <c r="B102" s="29"/>
      <c r="C102" s="97"/>
      <c r="D102" s="97"/>
      <c r="E102" s="29"/>
      <c r="F102" s="29"/>
      <c r="G102" s="67"/>
      <c r="H102" s="29"/>
      <c r="I102" s="97"/>
      <c r="J102" s="97"/>
      <c r="K102" s="29"/>
      <c r="L102" s="29"/>
      <c r="M102" s="67"/>
      <c r="N102" s="29"/>
      <c r="O102" s="30"/>
      <c r="P102" s="30"/>
      <c r="Q102" s="30"/>
    </row>
    <row r="103" spans="2:17" x14ac:dyDescent="0.3">
      <c r="B103" s="29"/>
      <c r="C103" s="97"/>
      <c r="D103" s="97"/>
      <c r="E103" s="29"/>
      <c r="F103" s="29"/>
      <c r="G103" s="67"/>
      <c r="H103" s="29"/>
      <c r="I103" s="97"/>
      <c r="J103" s="97"/>
      <c r="K103" s="29"/>
      <c r="L103" s="29"/>
      <c r="M103" s="67"/>
      <c r="N103" s="29"/>
      <c r="O103" s="30"/>
      <c r="P103" s="30"/>
      <c r="Q103" s="30"/>
    </row>
    <row r="104" spans="2:17" x14ac:dyDescent="0.3">
      <c r="B104" s="29"/>
      <c r="C104" s="97"/>
      <c r="D104" s="97"/>
      <c r="E104" s="29"/>
      <c r="F104" s="29"/>
      <c r="G104" s="67"/>
      <c r="H104" s="29"/>
      <c r="I104" s="97"/>
      <c r="J104" s="97"/>
      <c r="K104" s="29"/>
      <c r="L104" s="29"/>
      <c r="M104" s="67"/>
      <c r="N104" s="29"/>
      <c r="O104" s="30"/>
      <c r="P104" s="30"/>
      <c r="Q104" s="30"/>
    </row>
    <row r="105" spans="2:17" x14ac:dyDescent="0.3">
      <c r="B105" s="29"/>
      <c r="C105" s="97"/>
      <c r="D105" s="97"/>
      <c r="E105" s="29"/>
      <c r="F105" s="29"/>
      <c r="G105" s="67"/>
      <c r="H105" s="29"/>
      <c r="I105" s="97"/>
      <c r="J105" s="97"/>
      <c r="K105" s="29"/>
      <c r="L105" s="29"/>
      <c r="M105" s="67"/>
      <c r="N105" s="29"/>
      <c r="O105" s="30"/>
      <c r="P105" s="30"/>
      <c r="Q105" s="30"/>
    </row>
    <row r="106" spans="2:17" x14ac:dyDescent="0.3">
      <c r="B106" s="29"/>
      <c r="C106" s="97"/>
      <c r="D106" s="97"/>
      <c r="E106" s="29"/>
      <c r="F106" s="29"/>
      <c r="G106" s="67"/>
      <c r="H106" s="29"/>
      <c r="I106" s="97"/>
      <c r="J106" s="97"/>
      <c r="K106" s="29"/>
      <c r="L106" s="29"/>
      <c r="M106" s="67"/>
      <c r="N106" s="29"/>
      <c r="O106" s="30"/>
      <c r="P106" s="30"/>
      <c r="Q106" s="30"/>
    </row>
    <row r="107" spans="2:17" x14ac:dyDescent="0.3">
      <c r="B107" s="29"/>
      <c r="C107" s="97"/>
      <c r="D107" s="97"/>
      <c r="E107" s="29"/>
      <c r="F107" s="29"/>
      <c r="G107" s="67"/>
      <c r="H107" s="29"/>
      <c r="I107" s="97"/>
      <c r="J107" s="97"/>
      <c r="K107" s="29"/>
      <c r="L107" s="29"/>
      <c r="M107" s="67"/>
      <c r="N107" s="29"/>
      <c r="O107" s="30"/>
      <c r="P107" s="30"/>
      <c r="Q107" s="30"/>
    </row>
    <row r="108" spans="2:17" x14ac:dyDescent="0.3">
      <c r="B108" s="29"/>
      <c r="C108" s="97"/>
      <c r="D108" s="97"/>
      <c r="E108" s="29"/>
      <c r="F108" s="29"/>
      <c r="G108" s="67"/>
      <c r="H108" s="29"/>
      <c r="I108" s="97"/>
      <c r="J108" s="97"/>
      <c r="K108" s="29"/>
      <c r="L108" s="29"/>
      <c r="M108" s="67"/>
      <c r="N108" s="29"/>
      <c r="O108" s="30"/>
      <c r="P108" s="30"/>
      <c r="Q108" s="30"/>
    </row>
    <row r="109" spans="2:17" x14ac:dyDescent="0.3">
      <c r="B109" s="29"/>
      <c r="C109" s="97"/>
      <c r="D109" s="97"/>
      <c r="E109" s="29"/>
      <c r="F109" s="29"/>
      <c r="G109" s="67"/>
      <c r="H109" s="29"/>
      <c r="I109" s="97"/>
      <c r="J109" s="97"/>
      <c r="K109" s="29"/>
      <c r="L109" s="29"/>
      <c r="M109" s="67"/>
      <c r="N109" s="29"/>
      <c r="O109" s="30"/>
      <c r="P109" s="30"/>
      <c r="Q109" s="30"/>
    </row>
    <row r="110" spans="2:17" x14ac:dyDescent="0.3">
      <c r="B110" s="29"/>
      <c r="C110" s="97"/>
      <c r="D110" s="97"/>
      <c r="E110" s="29"/>
      <c r="F110" s="29"/>
      <c r="G110" s="67"/>
      <c r="H110" s="29"/>
      <c r="I110" s="97"/>
      <c r="J110" s="97"/>
      <c r="K110" s="29"/>
      <c r="L110" s="29"/>
      <c r="M110" s="67"/>
      <c r="N110" s="29"/>
      <c r="O110" s="30"/>
      <c r="P110" s="30"/>
      <c r="Q110" s="30"/>
    </row>
    <row r="111" spans="2:17" x14ac:dyDescent="0.3">
      <c r="B111" s="29"/>
      <c r="C111" s="97"/>
      <c r="D111" s="97"/>
      <c r="E111" s="29"/>
      <c r="F111" s="29"/>
      <c r="G111" s="67"/>
      <c r="H111" s="29"/>
      <c r="I111" s="97"/>
      <c r="J111" s="97"/>
      <c r="K111" s="29"/>
      <c r="L111" s="29"/>
      <c r="M111" s="67"/>
      <c r="N111" s="29"/>
      <c r="O111" s="30"/>
      <c r="P111" s="30"/>
      <c r="Q111" s="30"/>
    </row>
    <row r="112" spans="2:17" x14ac:dyDescent="0.3">
      <c r="B112" s="29"/>
      <c r="C112" s="97"/>
      <c r="D112" s="97"/>
      <c r="E112" s="29"/>
      <c r="F112" s="29"/>
      <c r="G112" s="67"/>
      <c r="H112" s="29"/>
      <c r="I112" s="97"/>
      <c r="J112" s="97"/>
      <c r="K112" s="29"/>
      <c r="L112" s="29"/>
      <c r="M112" s="67"/>
      <c r="N112" s="29"/>
      <c r="O112" s="30"/>
      <c r="P112" s="30"/>
      <c r="Q112" s="30"/>
    </row>
    <row r="113" spans="2:17" x14ac:dyDescent="0.3">
      <c r="B113" s="29"/>
      <c r="C113" s="97"/>
      <c r="D113" s="97"/>
      <c r="E113" s="29"/>
      <c r="F113" s="29"/>
      <c r="G113" s="67"/>
      <c r="H113" s="29"/>
      <c r="I113" s="97"/>
      <c r="J113" s="97"/>
      <c r="K113" s="29"/>
      <c r="L113" s="29"/>
      <c r="M113" s="67"/>
      <c r="N113" s="29"/>
      <c r="O113" s="30"/>
      <c r="P113" s="30"/>
      <c r="Q113" s="30"/>
    </row>
    <row r="114" spans="2:17" x14ac:dyDescent="0.3">
      <c r="B114" s="29"/>
      <c r="C114" s="97"/>
      <c r="D114" s="97"/>
      <c r="E114" s="29"/>
      <c r="F114" s="29"/>
      <c r="G114" s="67"/>
      <c r="H114" s="29"/>
      <c r="I114" s="97"/>
      <c r="J114" s="97"/>
      <c r="K114" s="29"/>
      <c r="L114" s="29"/>
      <c r="M114" s="67"/>
      <c r="N114" s="29"/>
      <c r="O114" s="30"/>
      <c r="P114" s="30"/>
      <c r="Q114" s="30"/>
    </row>
    <row r="115" spans="2:17" x14ac:dyDescent="0.3">
      <c r="B115" s="29"/>
      <c r="C115" s="97"/>
      <c r="D115" s="97"/>
      <c r="E115" s="29"/>
      <c r="F115" s="29"/>
      <c r="G115" s="67"/>
      <c r="H115" s="29"/>
      <c r="I115" s="97"/>
      <c r="J115" s="97"/>
      <c r="K115" s="29"/>
      <c r="L115" s="29"/>
      <c r="M115" s="67"/>
      <c r="N115" s="29"/>
      <c r="O115" s="30"/>
      <c r="P115" s="30"/>
      <c r="Q115" s="30"/>
    </row>
    <row r="116" spans="2:17" x14ac:dyDescent="0.3">
      <c r="B116" s="29"/>
      <c r="C116" s="97"/>
      <c r="D116" s="97"/>
      <c r="E116" s="29"/>
      <c r="F116" s="29"/>
      <c r="G116" s="67"/>
      <c r="H116" s="29"/>
      <c r="I116" s="97"/>
      <c r="J116" s="97"/>
      <c r="K116" s="29"/>
      <c r="L116" s="29"/>
      <c r="M116" s="67"/>
      <c r="N116" s="29"/>
      <c r="O116" s="30"/>
      <c r="P116" s="30"/>
      <c r="Q116" s="30"/>
    </row>
    <row r="117" spans="2:17" x14ac:dyDescent="0.3">
      <c r="B117" s="29"/>
      <c r="C117" s="97"/>
      <c r="D117" s="97"/>
      <c r="E117" s="29"/>
      <c r="F117" s="29"/>
      <c r="G117" s="67"/>
      <c r="H117" s="29"/>
      <c r="I117" s="97"/>
      <c r="J117" s="97"/>
      <c r="K117" s="29"/>
      <c r="L117" s="29"/>
      <c r="M117" s="67"/>
      <c r="N117" s="29"/>
      <c r="O117" s="30"/>
      <c r="P117" s="30"/>
      <c r="Q117" s="30"/>
    </row>
    <row r="118" spans="2:17" x14ac:dyDescent="0.3">
      <c r="B118" s="29"/>
      <c r="C118" s="97"/>
      <c r="D118" s="97"/>
      <c r="E118" s="29"/>
      <c r="F118" s="29"/>
      <c r="G118" s="67"/>
      <c r="H118" s="29"/>
      <c r="I118" s="97"/>
      <c r="J118" s="97"/>
      <c r="K118" s="29"/>
      <c r="L118" s="29"/>
      <c r="M118" s="67"/>
      <c r="N118" s="29"/>
      <c r="O118" s="30"/>
      <c r="P118" s="30"/>
      <c r="Q118" s="30"/>
    </row>
    <row r="119" spans="2:17" x14ac:dyDescent="0.3">
      <c r="B119" s="29"/>
      <c r="C119" s="97"/>
      <c r="D119" s="97"/>
      <c r="E119" s="29"/>
      <c r="F119" s="29"/>
      <c r="G119" s="67"/>
      <c r="H119" s="29"/>
      <c r="I119" s="97"/>
      <c r="J119" s="97"/>
      <c r="K119" s="29"/>
      <c r="L119" s="29"/>
      <c r="M119" s="67"/>
      <c r="N119" s="29"/>
      <c r="O119" s="30"/>
      <c r="P119" s="30"/>
      <c r="Q119" s="30"/>
    </row>
    <row r="120" spans="2:17" x14ac:dyDescent="0.3">
      <c r="B120" s="29"/>
      <c r="C120" s="97"/>
      <c r="D120" s="97"/>
      <c r="E120" s="29"/>
      <c r="F120" s="29"/>
      <c r="G120" s="67"/>
      <c r="H120" s="29"/>
      <c r="I120" s="97"/>
      <c r="J120" s="97"/>
      <c r="K120" s="29"/>
      <c r="L120" s="29"/>
      <c r="M120" s="67"/>
      <c r="N120" s="29"/>
      <c r="O120" s="30"/>
      <c r="P120" s="30"/>
      <c r="Q120" s="30"/>
    </row>
    <row r="121" spans="2:17" x14ac:dyDescent="0.3">
      <c r="B121" s="29"/>
      <c r="C121" s="97"/>
      <c r="D121" s="97"/>
      <c r="E121" s="29"/>
      <c r="F121" s="29"/>
      <c r="G121" s="67"/>
      <c r="H121" s="29"/>
      <c r="I121" s="97"/>
      <c r="J121" s="97"/>
      <c r="K121" s="29"/>
      <c r="L121" s="29"/>
      <c r="M121" s="67"/>
      <c r="N121" s="29"/>
      <c r="O121" s="30"/>
      <c r="P121" s="30"/>
      <c r="Q121" s="30"/>
    </row>
    <row r="122" spans="2:17" x14ac:dyDescent="0.3">
      <c r="B122" s="29"/>
      <c r="C122" s="97"/>
      <c r="D122" s="97"/>
      <c r="E122" s="29"/>
      <c r="F122" s="29"/>
      <c r="G122" s="67"/>
      <c r="H122" s="29"/>
      <c r="I122" s="97"/>
      <c r="J122" s="97"/>
      <c r="K122" s="29"/>
      <c r="L122" s="29"/>
      <c r="M122" s="67"/>
      <c r="N122" s="29"/>
      <c r="O122" s="30"/>
      <c r="P122" s="30"/>
      <c r="Q122" s="30"/>
    </row>
    <row r="123" spans="2:17" x14ac:dyDescent="0.3">
      <c r="B123" s="29"/>
      <c r="C123" s="97"/>
      <c r="D123" s="97"/>
      <c r="E123" s="29"/>
      <c r="F123" s="29"/>
      <c r="G123" s="67"/>
      <c r="H123" s="29"/>
      <c r="I123" s="97"/>
      <c r="J123" s="97"/>
      <c r="K123" s="29"/>
      <c r="L123" s="29"/>
      <c r="M123" s="67"/>
      <c r="N123" s="29"/>
      <c r="O123" s="30"/>
      <c r="P123" s="30"/>
      <c r="Q123" s="30"/>
    </row>
    <row r="124" spans="2:17" x14ac:dyDescent="0.3">
      <c r="B124" s="29"/>
      <c r="C124" s="97"/>
      <c r="D124" s="97"/>
      <c r="E124" s="29"/>
      <c r="F124" s="29"/>
      <c r="G124" s="67"/>
      <c r="H124" s="29"/>
      <c r="I124" s="97"/>
      <c r="J124" s="97"/>
      <c r="K124" s="29"/>
      <c r="L124" s="29"/>
      <c r="M124" s="67"/>
      <c r="N124" s="29"/>
      <c r="O124" s="30"/>
      <c r="P124" s="30"/>
      <c r="Q124" s="30"/>
    </row>
    <row r="125" spans="2:17" x14ac:dyDescent="0.3">
      <c r="B125" s="29"/>
      <c r="C125" s="97"/>
      <c r="D125" s="97"/>
      <c r="E125" s="29"/>
      <c r="F125" s="29"/>
      <c r="G125" s="67"/>
      <c r="H125" s="29"/>
      <c r="I125" s="97"/>
      <c r="J125" s="97"/>
      <c r="K125" s="29"/>
      <c r="L125" s="29"/>
      <c r="M125" s="67"/>
      <c r="N125" s="29"/>
      <c r="O125" s="30"/>
      <c r="P125" s="30"/>
      <c r="Q125" s="30"/>
    </row>
    <row r="126" spans="2:17" x14ac:dyDescent="0.3">
      <c r="B126" s="29"/>
      <c r="C126" s="97"/>
      <c r="D126" s="97"/>
      <c r="E126" s="29"/>
      <c r="F126" s="29"/>
      <c r="G126" s="67"/>
      <c r="H126" s="29"/>
      <c r="I126" s="97"/>
      <c r="J126" s="97"/>
      <c r="K126" s="29"/>
      <c r="L126" s="29"/>
      <c r="M126" s="67"/>
      <c r="N126" s="29"/>
      <c r="O126" s="30"/>
      <c r="P126" s="30"/>
      <c r="Q126" s="30"/>
    </row>
    <row r="127" spans="2:17" x14ac:dyDescent="0.3">
      <c r="B127" s="29"/>
      <c r="C127" s="97"/>
      <c r="D127" s="97"/>
      <c r="E127" s="29"/>
      <c r="F127" s="29"/>
      <c r="G127" s="67"/>
      <c r="H127" s="29"/>
      <c r="I127" s="97"/>
      <c r="J127" s="97"/>
      <c r="K127" s="29"/>
      <c r="L127" s="29"/>
      <c r="M127" s="67"/>
      <c r="N127" s="29"/>
      <c r="O127" s="30"/>
      <c r="P127" s="30"/>
      <c r="Q127" s="30"/>
    </row>
    <row r="128" spans="2:17" x14ac:dyDescent="0.3">
      <c r="B128" s="29"/>
      <c r="C128" s="97"/>
      <c r="D128" s="97"/>
      <c r="E128" s="29"/>
      <c r="F128" s="29"/>
      <c r="G128" s="67"/>
      <c r="H128" s="29"/>
      <c r="I128" s="97"/>
      <c r="J128" s="97"/>
      <c r="K128" s="29"/>
      <c r="L128" s="29"/>
      <c r="M128" s="67"/>
      <c r="N128" s="29"/>
      <c r="O128" s="30"/>
      <c r="P128" s="30"/>
      <c r="Q128" s="30"/>
    </row>
    <row r="129" spans="2:17" x14ac:dyDescent="0.3">
      <c r="B129" s="29"/>
      <c r="C129" s="97"/>
      <c r="D129" s="97"/>
      <c r="E129" s="29"/>
      <c r="F129" s="29"/>
      <c r="G129" s="67"/>
      <c r="H129" s="29"/>
      <c r="I129" s="97"/>
      <c r="J129" s="97"/>
      <c r="K129" s="29"/>
      <c r="L129" s="29"/>
      <c r="M129" s="67"/>
      <c r="N129" s="29"/>
      <c r="O129" s="30"/>
      <c r="P129" s="30"/>
      <c r="Q129" s="30"/>
    </row>
    <row r="130" spans="2:17" x14ac:dyDescent="0.3">
      <c r="B130" s="29"/>
      <c r="C130" s="97"/>
      <c r="D130" s="97"/>
      <c r="E130" s="29"/>
      <c r="F130" s="29"/>
      <c r="G130" s="67"/>
      <c r="H130" s="29"/>
      <c r="I130" s="97"/>
      <c r="J130" s="97"/>
      <c r="K130" s="29"/>
      <c r="L130" s="29"/>
      <c r="M130" s="67"/>
      <c r="N130" s="29"/>
      <c r="O130" s="30"/>
      <c r="P130" s="30"/>
      <c r="Q130" s="30"/>
    </row>
    <row r="131" spans="2:17" x14ac:dyDescent="0.3">
      <c r="B131" s="29"/>
      <c r="C131" s="97"/>
      <c r="D131" s="97"/>
      <c r="E131" s="29"/>
      <c r="F131" s="29"/>
      <c r="G131" s="67"/>
      <c r="H131" s="29"/>
      <c r="I131" s="97"/>
      <c r="J131" s="97"/>
      <c r="K131" s="29"/>
      <c r="L131" s="29"/>
      <c r="M131" s="67"/>
      <c r="N131" s="29"/>
      <c r="O131" s="30"/>
      <c r="P131" s="30"/>
      <c r="Q131" s="30"/>
    </row>
    <row r="132" spans="2:17" x14ac:dyDescent="0.3">
      <c r="B132" s="29"/>
      <c r="C132" s="97"/>
      <c r="D132" s="97"/>
      <c r="E132" s="29"/>
      <c r="F132" s="29"/>
      <c r="G132" s="67"/>
      <c r="H132" s="29"/>
      <c r="I132" s="97"/>
      <c r="J132" s="97"/>
      <c r="K132" s="29"/>
      <c r="L132" s="29"/>
      <c r="M132" s="67"/>
      <c r="N132" s="29"/>
      <c r="O132" s="30"/>
      <c r="P132" s="30"/>
      <c r="Q132" s="30"/>
    </row>
    <row r="133" spans="2:17" x14ac:dyDescent="0.3">
      <c r="B133" s="29"/>
      <c r="C133" s="97"/>
      <c r="D133" s="97"/>
      <c r="E133" s="29"/>
      <c r="F133" s="29"/>
      <c r="G133" s="67"/>
      <c r="H133" s="29"/>
      <c r="I133" s="97"/>
      <c r="J133" s="97"/>
      <c r="K133" s="29"/>
      <c r="L133" s="29"/>
      <c r="M133" s="67"/>
      <c r="N133" s="29"/>
      <c r="O133" s="30"/>
      <c r="P133" s="30"/>
      <c r="Q133" s="30"/>
    </row>
    <row r="134" spans="2:17" x14ac:dyDescent="0.3">
      <c r="B134" s="29"/>
      <c r="C134" s="97"/>
      <c r="D134" s="97"/>
      <c r="E134" s="29"/>
      <c r="F134" s="29"/>
      <c r="G134" s="67"/>
      <c r="H134" s="29"/>
      <c r="I134" s="97"/>
      <c r="J134" s="97"/>
      <c r="K134" s="29"/>
      <c r="L134" s="29"/>
      <c r="M134" s="67"/>
      <c r="N134" s="29"/>
      <c r="O134" s="30"/>
      <c r="P134" s="30"/>
      <c r="Q134" s="30"/>
    </row>
    <row r="135" spans="2:17" x14ac:dyDescent="0.3">
      <c r="B135" s="29"/>
      <c r="C135" s="97"/>
      <c r="D135" s="97"/>
      <c r="E135" s="29"/>
      <c r="F135" s="29"/>
      <c r="G135" s="67"/>
      <c r="H135" s="29"/>
      <c r="I135" s="97"/>
      <c r="J135" s="97"/>
      <c r="K135" s="29"/>
      <c r="L135" s="29"/>
      <c r="M135" s="67"/>
      <c r="N135" s="29"/>
      <c r="O135" s="30"/>
      <c r="P135" s="30"/>
      <c r="Q135" s="30"/>
    </row>
    <row r="136" spans="2:17" x14ac:dyDescent="0.3">
      <c r="B136" s="29"/>
      <c r="C136" s="97"/>
      <c r="D136" s="97"/>
      <c r="E136" s="29"/>
      <c r="F136" s="29"/>
      <c r="G136" s="67"/>
      <c r="H136" s="29"/>
      <c r="I136" s="97"/>
      <c r="J136" s="97"/>
      <c r="K136" s="29"/>
      <c r="L136" s="29"/>
      <c r="M136" s="67"/>
      <c r="N136" s="29"/>
      <c r="O136" s="30"/>
      <c r="P136" s="30"/>
      <c r="Q136" s="30"/>
    </row>
    <row r="137" spans="2:17" x14ac:dyDescent="0.3">
      <c r="B137" s="29"/>
      <c r="C137" s="97"/>
      <c r="D137" s="97"/>
      <c r="E137" s="29"/>
      <c r="F137" s="29"/>
      <c r="G137" s="67"/>
      <c r="H137" s="29"/>
      <c r="I137" s="97"/>
      <c r="J137" s="97"/>
      <c r="K137" s="29"/>
      <c r="L137" s="29"/>
      <c r="M137" s="67"/>
      <c r="N137" s="29"/>
      <c r="O137" s="30"/>
      <c r="P137" s="30"/>
      <c r="Q137" s="30"/>
    </row>
    <row r="138" spans="2:17" x14ac:dyDescent="0.3">
      <c r="B138" s="29"/>
      <c r="C138" s="97"/>
      <c r="D138" s="97"/>
      <c r="E138" s="29"/>
      <c r="F138" s="29"/>
      <c r="G138" s="67"/>
      <c r="H138" s="29"/>
      <c r="I138" s="97"/>
      <c r="J138" s="97"/>
      <c r="K138" s="29"/>
      <c r="L138" s="29"/>
      <c r="M138" s="67"/>
      <c r="N138" s="29"/>
      <c r="O138" s="30"/>
      <c r="P138" s="30"/>
      <c r="Q138" s="30"/>
    </row>
    <row r="139" spans="2:17" x14ac:dyDescent="0.3">
      <c r="B139" s="29"/>
      <c r="C139" s="97"/>
      <c r="D139" s="97"/>
      <c r="E139" s="29"/>
      <c r="F139" s="29"/>
      <c r="G139" s="67"/>
      <c r="H139" s="29"/>
      <c r="I139" s="97"/>
      <c r="J139" s="97"/>
      <c r="K139" s="29"/>
      <c r="L139" s="29"/>
      <c r="M139" s="67"/>
      <c r="N139" s="29"/>
      <c r="O139" s="30"/>
      <c r="P139" s="30"/>
      <c r="Q139" s="30"/>
    </row>
    <row r="140" spans="2:17" x14ac:dyDescent="0.3">
      <c r="B140" s="29"/>
      <c r="C140" s="97"/>
      <c r="D140" s="97"/>
      <c r="E140" s="29"/>
      <c r="F140" s="29"/>
      <c r="G140" s="67"/>
      <c r="H140" s="29"/>
      <c r="I140" s="97"/>
      <c r="J140" s="97"/>
      <c r="K140" s="29"/>
      <c r="L140" s="29"/>
      <c r="M140" s="67"/>
      <c r="N140" s="29"/>
      <c r="O140" s="30"/>
      <c r="P140" s="30"/>
      <c r="Q140" s="30"/>
    </row>
    <row r="141" spans="2:17" x14ac:dyDescent="0.3">
      <c r="B141" s="29"/>
      <c r="C141" s="97"/>
      <c r="D141" s="97"/>
      <c r="E141" s="29"/>
      <c r="F141" s="29"/>
      <c r="G141" s="67"/>
      <c r="H141" s="29"/>
      <c r="I141" s="97"/>
      <c r="J141" s="97"/>
      <c r="K141" s="29"/>
      <c r="L141" s="29"/>
      <c r="M141" s="67"/>
      <c r="N141" s="29"/>
      <c r="O141" s="30"/>
      <c r="P141" s="30"/>
      <c r="Q141" s="30"/>
    </row>
    <row r="142" spans="2:17" x14ac:dyDescent="0.3">
      <c r="B142" s="29"/>
      <c r="C142" s="97"/>
      <c r="D142" s="97"/>
      <c r="E142" s="29"/>
      <c r="F142" s="29"/>
      <c r="G142" s="67"/>
      <c r="H142" s="29"/>
      <c r="I142" s="97"/>
      <c r="J142" s="97"/>
      <c r="K142" s="29"/>
      <c r="L142" s="29"/>
      <c r="M142" s="67"/>
      <c r="N142" s="29"/>
      <c r="O142" s="30"/>
      <c r="P142" s="30"/>
      <c r="Q142" s="30"/>
    </row>
    <row r="143" spans="2:17" x14ac:dyDescent="0.3">
      <c r="B143" s="29"/>
      <c r="C143" s="97"/>
      <c r="D143" s="97"/>
      <c r="E143" s="29"/>
      <c r="F143" s="29"/>
      <c r="G143" s="67"/>
      <c r="H143" s="29"/>
      <c r="I143" s="97"/>
      <c r="J143" s="97"/>
      <c r="K143" s="29"/>
      <c r="L143" s="29"/>
      <c r="M143" s="67"/>
      <c r="N143" s="29"/>
      <c r="O143" s="30"/>
      <c r="P143" s="30"/>
      <c r="Q143" s="30"/>
    </row>
    <row r="144" spans="2:17" x14ac:dyDescent="0.3">
      <c r="B144" s="29"/>
      <c r="C144" s="97"/>
      <c r="D144" s="97"/>
      <c r="E144" s="29"/>
      <c r="F144" s="29"/>
      <c r="G144" s="67"/>
      <c r="H144" s="29"/>
      <c r="I144" s="97"/>
      <c r="J144" s="97"/>
      <c r="K144" s="29"/>
      <c r="L144" s="29"/>
      <c r="M144" s="67"/>
      <c r="N144" s="29"/>
      <c r="O144" s="30"/>
      <c r="P144" s="30"/>
      <c r="Q144" s="30"/>
    </row>
    <row r="145" spans="2:17" x14ac:dyDescent="0.3">
      <c r="B145" s="29"/>
      <c r="C145" s="97"/>
      <c r="D145" s="97"/>
      <c r="E145" s="29"/>
      <c r="F145" s="29"/>
      <c r="G145" s="67"/>
      <c r="H145" s="29"/>
      <c r="I145" s="97"/>
      <c r="J145" s="97"/>
      <c r="K145" s="29"/>
      <c r="L145" s="29"/>
      <c r="M145" s="67"/>
      <c r="N145" s="29"/>
      <c r="O145" s="30"/>
      <c r="P145" s="30"/>
      <c r="Q145" s="30"/>
    </row>
    <row r="146" spans="2:17" x14ac:dyDescent="0.3">
      <c r="B146" s="29"/>
      <c r="C146" s="97"/>
      <c r="D146" s="97"/>
      <c r="E146" s="29"/>
      <c r="F146" s="29"/>
      <c r="G146" s="67"/>
      <c r="H146" s="29"/>
      <c r="I146" s="97"/>
      <c r="J146" s="97"/>
      <c r="K146" s="29"/>
      <c r="L146" s="29"/>
      <c r="M146" s="67"/>
      <c r="N146" s="29"/>
      <c r="O146" s="30"/>
      <c r="P146" s="30"/>
      <c r="Q146" s="30"/>
    </row>
    <row r="147" spans="2:17" x14ac:dyDescent="0.3">
      <c r="B147" s="29"/>
      <c r="C147" s="97"/>
      <c r="D147" s="97"/>
      <c r="E147" s="29"/>
      <c r="F147" s="29"/>
      <c r="G147" s="67"/>
      <c r="H147" s="29"/>
      <c r="I147" s="97"/>
      <c r="J147" s="97"/>
      <c r="K147" s="29"/>
      <c r="L147" s="29"/>
      <c r="M147" s="67"/>
      <c r="N147" s="29"/>
      <c r="O147" s="30"/>
      <c r="P147" s="30"/>
      <c r="Q147" s="30"/>
    </row>
    <row r="148" spans="2:17" x14ac:dyDescent="0.3">
      <c r="B148" s="29"/>
      <c r="C148" s="97"/>
      <c r="D148" s="97"/>
      <c r="E148" s="29"/>
      <c r="F148" s="29"/>
      <c r="G148" s="67"/>
      <c r="H148" s="29"/>
      <c r="I148" s="97"/>
      <c r="J148" s="97"/>
      <c r="K148" s="29"/>
      <c r="L148" s="29"/>
      <c r="M148" s="67"/>
      <c r="N148" s="29"/>
      <c r="O148" s="30"/>
      <c r="P148" s="30"/>
      <c r="Q148" s="30"/>
    </row>
    <row r="149" spans="2:17" x14ac:dyDescent="0.3">
      <c r="B149" s="29"/>
      <c r="C149" s="97"/>
      <c r="D149" s="97"/>
      <c r="E149" s="29"/>
      <c r="F149" s="29"/>
      <c r="G149" s="67"/>
      <c r="H149" s="29"/>
      <c r="I149" s="97"/>
      <c r="J149" s="97"/>
      <c r="K149" s="29"/>
      <c r="L149" s="29"/>
      <c r="M149" s="67"/>
      <c r="N149" s="29"/>
      <c r="O149" s="30"/>
      <c r="P149" s="30"/>
      <c r="Q149" s="30"/>
    </row>
    <row r="150" spans="2:17" x14ac:dyDescent="0.3">
      <c r="B150" s="29"/>
      <c r="C150" s="97"/>
      <c r="D150" s="97"/>
      <c r="E150" s="29"/>
      <c r="F150" s="29"/>
      <c r="G150" s="67"/>
      <c r="H150" s="29"/>
      <c r="I150" s="97"/>
      <c r="J150" s="97"/>
      <c r="K150" s="29"/>
      <c r="L150" s="29"/>
      <c r="M150" s="67"/>
      <c r="N150" s="29"/>
      <c r="O150" s="30"/>
      <c r="P150" s="30"/>
      <c r="Q150" s="30"/>
    </row>
    <row r="151" spans="2:17" x14ac:dyDescent="0.3">
      <c r="B151" s="29"/>
      <c r="C151" s="97"/>
      <c r="D151" s="97"/>
      <c r="E151" s="29"/>
      <c r="F151" s="29"/>
      <c r="G151" s="67"/>
      <c r="H151" s="29"/>
      <c r="I151" s="97"/>
      <c r="J151" s="97"/>
      <c r="K151" s="29"/>
      <c r="L151" s="29"/>
      <c r="M151" s="67"/>
      <c r="N151" s="29"/>
      <c r="O151" s="30"/>
      <c r="P151" s="30"/>
      <c r="Q151" s="30"/>
    </row>
    <row r="152" spans="2:17" x14ac:dyDescent="0.3">
      <c r="B152" s="29"/>
      <c r="C152" s="97"/>
      <c r="D152" s="97"/>
      <c r="E152" s="29"/>
      <c r="F152" s="29"/>
      <c r="G152" s="67"/>
      <c r="H152" s="29"/>
      <c r="I152" s="97"/>
      <c r="J152" s="97"/>
      <c r="K152" s="29"/>
      <c r="L152" s="29"/>
      <c r="M152" s="67"/>
      <c r="N152" s="29"/>
      <c r="O152" s="30"/>
      <c r="P152" s="30"/>
      <c r="Q152" s="30"/>
    </row>
    <row r="153" spans="2:17" x14ac:dyDescent="0.3">
      <c r="B153" s="29"/>
      <c r="C153" s="97"/>
      <c r="D153" s="97"/>
      <c r="E153" s="29"/>
      <c r="F153" s="29"/>
      <c r="G153" s="67"/>
      <c r="H153" s="29"/>
      <c r="I153" s="97"/>
      <c r="J153" s="97"/>
      <c r="K153" s="29"/>
      <c r="L153" s="29"/>
      <c r="M153" s="67"/>
      <c r="N153" s="29"/>
      <c r="O153" s="30"/>
      <c r="P153" s="30"/>
      <c r="Q153" s="30"/>
    </row>
    <row r="154" spans="2:17" x14ac:dyDescent="0.3">
      <c r="B154" s="29"/>
      <c r="C154" s="97"/>
      <c r="D154" s="97"/>
      <c r="E154" s="29"/>
      <c r="F154" s="29"/>
      <c r="G154" s="67"/>
      <c r="H154" s="29"/>
      <c r="I154" s="97"/>
      <c r="J154" s="97"/>
      <c r="K154" s="29"/>
      <c r="L154" s="29"/>
      <c r="M154" s="67"/>
      <c r="N154" s="29"/>
      <c r="O154" s="30"/>
      <c r="P154" s="30"/>
      <c r="Q154" s="30"/>
    </row>
    <row r="155" spans="2:17" x14ac:dyDescent="0.3">
      <c r="B155" s="29"/>
      <c r="C155" s="97"/>
      <c r="D155" s="97"/>
      <c r="E155" s="29"/>
      <c r="F155" s="29"/>
      <c r="G155" s="67"/>
      <c r="H155" s="29"/>
      <c r="I155" s="97"/>
      <c r="J155" s="97"/>
      <c r="K155" s="29"/>
      <c r="L155" s="29"/>
      <c r="M155" s="67"/>
      <c r="N155" s="29"/>
      <c r="O155" s="30"/>
      <c r="P155" s="30"/>
      <c r="Q155" s="30"/>
    </row>
    <row r="156" spans="2:17" x14ac:dyDescent="0.3">
      <c r="B156" s="29"/>
      <c r="C156" s="97"/>
      <c r="D156" s="97"/>
      <c r="E156" s="29"/>
      <c r="F156" s="29"/>
      <c r="G156" s="67"/>
      <c r="H156" s="29"/>
      <c r="I156" s="97"/>
      <c r="J156" s="97"/>
      <c r="K156" s="29"/>
      <c r="L156" s="29"/>
      <c r="M156" s="67"/>
      <c r="N156" s="29"/>
      <c r="O156" s="30"/>
      <c r="P156" s="30"/>
      <c r="Q156" s="30"/>
    </row>
    <row r="157" spans="2:17" x14ac:dyDescent="0.3">
      <c r="B157" s="29"/>
      <c r="C157" s="97"/>
      <c r="D157" s="97"/>
      <c r="E157" s="29"/>
      <c r="F157" s="29"/>
      <c r="G157" s="67"/>
      <c r="H157" s="29"/>
      <c r="I157" s="97"/>
      <c r="J157" s="97"/>
      <c r="K157" s="29"/>
      <c r="L157" s="29"/>
      <c r="M157" s="67"/>
      <c r="N157" s="29"/>
      <c r="O157" s="30"/>
      <c r="P157" s="30"/>
      <c r="Q157" s="30"/>
    </row>
    <row r="158" spans="2:17" x14ac:dyDescent="0.3">
      <c r="B158" s="29"/>
      <c r="C158" s="97"/>
      <c r="D158" s="97"/>
      <c r="E158" s="29"/>
      <c r="F158" s="29"/>
      <c r="G158" s="67"/>
      <c r="H158" s="29"/>
      <c r="I158" s="97"/>
      <c r="J158" s="97"/>
      <c r="K158" s="29"/>
      <c r="L158" s="29"/>
      <c r="M158" s="67"/>
      <c r="N158" s="29"/>
      <c r="O158" s="30"/>
      <c r="P158" s="30"/>
      <c r="Q158" s="30"/>
    </row>
    <row r="159" spans="2:17" x14ac:dyDescent="0.3">
      <c r="B159" s="29"/>
      <c r="C159" s="97"/>
      <c r="D159" s="97"/>
      <c r="E159" s="29"/>
      <c r="F159" s="29"/>
      <c r="G159" s="67"/>
      <c r="H159" s="29"/>
      <c r="I159" s="97"/>
      <c r="J159" s="97"/>
      <c r="K159" s="29"/>
      <c r="L159" s="29"/>
      <c r="M159" s="67"/>
      <c r="N159" s="29"/>
      <c r="O159" s="30"/>
      <c r="P159" s="30"/>
      <c r="Q159" s="30"/>
    </row>
    <row r="160" spans="2:17" x14ac:dyDescent="0.3">
      <c r="B160" s="29"/>
      <c r="C160" s="97"/>
      <c r="D160" s="97"/>
      <c r="E160" s="29"/>
      <c r="F160" s="29"/>
      <c r="G160" s="67"/>
      <c r="H160" s="29"/>
      <c r="I160" s="97"/>
      <c r="J160" s="97"/>
      <c r="K160" s="29"/>
      <c r="L160" s="29"/>
      <c r="M160" s="67"/>
      <c r="N160" s="29"/>
      <c r="O160" s="30"/>
      <c r="P160" s="30"/>
      <c r="Q160" s="30"/>
    </row>
    <row r="161" spans="2:17" x14ac:dyDescent="0.3">
      <c r="B161" s="29"/>
      <c r="C161" s="97"/>
      <c r="D161" s="97"/>
      <c r="E161" s="29"/>
      <c r="F161" s="29"/>
      <c r="G161" s="67"/>
      <c r="H161" s="29"/>
      <c r="I161" s="97"/>
      <c r="J161" s="97"/>
      <c r="K161" s="29"/>
      <c r="L161" s="29"/>
      <c r="M161" s="67"/>
      <c r="N161" s="29"/>
      <c r="O161" s="30"/>
      <c r="P161" s="30"/>
      <c r="Q161" s="30"/>
    </row>
    <row r="162" spans="2:17" x14ac:dyDescent="0.3">
      <c r="B162" s="29"/>
      <c r="C162" s="97"/>
      <c r="D162" s="97"/>
      <c r="E162" s="29"/>
      <c r="F162" s="29"/>
      <c r="G162" s="67"/>
      <c r="H162" s="29"/>
      <c r="I162" s="97"/>
      <c r="J162" s="97"/>
      <c r="K162" s="29"/>
      <c r="L162" s="29"/>
      <c r="M162" s="67"/>
      <c r="N162" s="29"/>
      <c r="O162" s="30"/>
      <c r="P162" s="30"/>
      <c r="Q162" s="30"/>
    </row>
    <row r="163" spans="2:17" x14ac:dyDescent="0.3">
      <c r="B163" s="29"/>
      <c r="C163" s="97"/>
      <c r="D163" s="97"/>
      <c r="E163" s="29"/>
      <c r="F163" s="29"/>
      <c r="G163" s="67"/>
      <c r="H163" s="29"/>
      <c r="I163" s="97"/>
      <c r="J163" s="97"/>
      <c r="K163" s="29"/>
      <c r="L163" s="29"/>
      <c r="M163" s="67"/>
      <c r="N163" s="29"/>
      <c r="O163" s="30"/>
      <c r="P163" s="30"/>
      <c r="Q163" s="30"/>
    </row>
    <row r="164" spans="2:17" x14ac:dyDescent="0.3">
      <c r="B164" s="29"/>
      <c r="C164" s="97"/>
      <c r="D164" s="97"/>
      <c r="E164" s="29"/>
      <c r="F164" s="29"/>
      <c r="G164" s="67"/>
      <c r="H164" s="29"/>
      <c r="I164" s="97"/>
      <c r="J164" s="97"/>
      <c r="K164" s="29"/>
      <c r="L164" s="29"/>
      <c r="M164" s="67"/>
      <c r="N164" s="29"/>
      <c r="O164" s="30"/>
      <c r="P164" s="30"/>
      <c r="Q164" s="30"/>
    </row>
    <row r="165" spans="2:17" x14ac:dyDescent="0.3">
      <c r="B165" s="29"/>
      <c r="C165" s="97"/>
      <c r="D165" s="97"/>
      <c r="E165" s="29"/>
      <c r="F165" s="29"/>
      <c r="G165" s="67"/>
      <c r="H165" s="29"/>
      <c r="I165" s="97"/>
      <c r="J165" s="97"/>
      <c r="K165" s="29"/>
      <c r="L165" s="29"/>
      <c r="M165" s="67"/>
      <c r="N165" s="29"/>
      <c r="O165" s="30"/>
      <c r="P165" s="30"/>
      <c r="Q165" s="30"/>
    </row>
    <row r="166" spans="2:17" x14ac:dyDescent="0.3">
      <c r="B166" s="29"/>
      <c r="C166" s="97"/>
      <c r="D166" s="97"/>
      <c r="E166" s="29"/>
      <c r="F166" s="29"/>
      <c r="G166" s="67"/>
      <c r="H166" s="29"/>
      <c r="I166" s="97"/>
      <c r="J166" s="97"/>
      <c r="K166" s="29"/>
      <c r="L166" s="29"/>
      <c r="M166" s="67"/>
      <c r="N166" s="29"/>
      <c r="O166" s="30"/>
      <c r="P166" s="30"/>
      <c r="Q166" s="30"/>
    </row>
    <row r="167" spans="2:17" x14ac:dyDescent="0.3">
      <c r="B167" s="29"/>
      <c r="C167" s="97"/>
      <c r="D167" s="97"/>
      <c r="E167" s="29"/>
      <c r="F167" s="29"/>
      <c r="G167" s="67"/>
      <c r="H167" s="29"/>
      <c r="I167" s="97"/>
      <c r="J167" s="97"/>
      <c r="K167" s="29"/>
      <c r="L167" s="29"/>
      <c r="M167" s="67"/>
      <c r="N167" s="29"/>
      <c r="O167" s="30"/>
      <c r="P167" s="30"/>
      <c r="Q167" s="30"/>
    </row>
    <row r="168" spans="2:17" x14ac:dyDescent="0.3">
      <c r="B168" s="29"/>
      <c r="C168" s="97"/>
      <c r="D168" s="97"/>
      <c r="E168" s="29"/>
      <c r="F168" s="29"/>
      <c r="G168" s="67"/>
      <c r="H168" s="29"/>
      <c r="I168" s="97"/>
      <c r="J168" s="97"/>
      <c r="K168" s="29"/>
      <c r="L168" s="29"/>
      <c r="M168" s="67"/>
      <c r="N168" s="29"/>
      <c r="O168" s="30"/>
      <c r="P168" s="30"/>
      <c r="Q168" s="30"/>
    </row>
    <row r="169" spans="2:17" x14ac:dyDescent="0.3">
      <c r="B169" s="29"/>
      <c r="C169" s="97"/>
      <c r="D169" s="97"/>
      <c r="E169" s="29"/>
      <c r="F169" s="29"/>
      <c r="G169" s="67"/>
      <c r="H169" s="29"/>
      <c r="I169" s="97"/>
      <c r="J169" s="97"/>
      <c r="K169" s="29"/>
      <c r="L169" s="29"/>
      <c r="M169" s="67"/>
      <c r="N169" s="29"/>
      <c r="O169" s="30"/>
      <c r="P169" s="30"/>
      <c r="Q169" s="30"/>
    </row>
    <row r="170" spans="2:17" x14ac:dyDescent="0.3">
      <c r="B170" s="29"/>
      <c r="C170" s="97"/>
      <c r="D170" s="97"/>
      <c r="E170" s="29"/>
      <c r="F170" s="29"/>
      <c r="G170" s="67"/>
      <c r="H170" s="29"/>
      <c r="I170" s="97"/>
      <c r="J170" s="97"/>
      <c r="K170" s="29"/>
      <c r="L170" s="29"/>
      <c r="M170" s="67"/>
      <c r="N170" s="29"/>
      <c r="O170" s="30"/>
      <c r="P170" s="30"/>
      <c r="Q170" s="30"/>
    </row>
    <row r="171" spans="2:17" x14ac:dyDescent="0.3">
      <c r="B171" s="29"/>
      <c r="C171" s="97"/>
      <c r="D171" s="97"/>
      <c r="E171" s="29"/>
      <c r="F171" s="29"/>
      <c r="G171" s="67"/>
      <c r="H171" s="29"/>
      <c r="I171" s="97"/>
      <c r="J171" s="97"/>
      <c r="K171" s="29"/>
      <c r="L171" s="29"/>
      <c r="M171" s="67"/>
      <c r="N171" s="29"/>
      <c r="O171" s="30"/>
      <c r="P171" s="30"/>
      <c r="Q171" s="30"/>
    </row>
    <row r="172" spans="2:17" x14ac:dyDescent="0.3">
      <c r="B172" s="29"/>
      <c r="C172" s="97"/>
      <c r="D172" s="97"/>
      <c r="E172" s="29"/>
      <c r="F172" s="29"/>
      <c r="G172" s="67"/>
      <c r="H172" s="29"/>
      <c r="I172" s="97"/>
      <c r="J172" s="97"/>
      <c r="K172" s="29"/>
      <c r="L172" s="29"/>
      <c r="M172" s="67"/>
      <c r="N172" s="29"/>
      <c r="O172" s="30"/>
      <c r="P172" s="30"/>
      <c r="Q172" s="30"/>
    </row>
    <row r="173" spans="2:17" x14ac:dyDescent="0.3">
      <c r="B173" s="29"/>
      <c r="C173" s="97"/>
      <c r="D173" s="97"/>
      <c r="E173" s="29"/>
      <c r="F173" s="29"/>
      <c r="G173" s="67"/>
      <c r="H173" s="29"/>
      <c r="I173" s="97"/>
      <c r="J173" s="97"/>
      <c r="K173" s="29"/>
      <c r="L173" s="29"/>
      <c r="M173" s="67"/>
      <c r="N173" s="29"/>
      <c r="O173" s="30"/>
      <c r="P173" s="30"/>
      <c r="Q173" s="30"/>
    </row>
    <row r="174" spans="2:17" x14ac:dyDescent="0.3">
      <c r="B174" s="29"/>
      <c r="C174" s="97"/>
      <c r="D174" s="97"/>
      <c r="E174" s="29"/>
      <c r="F174" s="29"/>
      <c r="G174" s="67"/>
      <c r="H174" s="29"/>
      <c r="I174" s="97"/>
      <c r="J174" s="97"/>
      <c r="K174" s="29"/>
      <c r="L174" s="29"/>
      <c r="M174" s="67"/>
      <c r="N174" s="29"/>
      <c r="O174" s="30"/>
      <c r="P174" s="30"/>
      <c r="Q174" s="30"/>
    </row>
    <row r="175" spans="2:17" x14ac:dyDescent="0.3">
      <c r="B175" s="29"/>
      <c r="C175" s="97"/>
      <c r="D175" s="97"/>
      <c r="E175" s="29"/>
      <c r="F175" s="29"/>
      <c r="G175" s="67"/>
      <c r="H175" s="29"/>
      <c r="I175" s="97"/>
      <c r="J175" s="97"/>
      <c r="K175" s="29"/>
      <c r="L175" s="29"/>
      <c r="M175" s="67"/>
      <c r="N175" s="29"/>
      <c r="O175" s="30"/>
      <c r="P175" s="30"/>
      <c r="Q175" s="30"/>
    </row>
    <row r="176" spans="2:17" x14ac:dyDescent="0.3">
      <c r="B176" s="29"/>
      <c r="C176" s="97"/>
      <c r="D176" s="97"/>
      <c r="E176" s="29"/>
      <c r="F176" s="29"/>
      <c r="G176" s="67"/>
      <c r="H176" s="29"/>
      <c r="I176" s="97"/>
      <c r="J176" s="97"/>
      <c r="K176" s="29"/>
      <c r="L176" s="29"/>
      <c r="M176" s="67"/>
      <c r="N176" s="29"/>
      <c r="O176" s="30"/>
      <c r="P176" s="30"/>
      <c r="Q176" s="30"/>
    </row>
    <row r="177" spans="2:17" x14ac:dyDescent="0.3">
      <c r="B177" s="29"/>
      <c r="C177" s="97"/>
      <c r="D177" s="97"/>
      <c r="E177" s="29"/>
      <c r="F177" s="29"/>
      <c r="G177" s="67"/>
      <c r="H177" s="29"/>
      <c r="I177" s="97"/>
      <c r="J177" s="97"/>
      <c r="K177" s="29"/>
      <c r="L177" s="29"/>
      <c r="M177" s="67"/>
      <c r="N177" s="29"/>
      <c r="O177" s="30"/>
      <c r="P177" s="30"/>
      <c r="Q177" s="30"/>
    </row>
    <row r="178" spans="2:17" x14ac:dyDescent="0.3">
      <c r="B178" s="29"/>
      <c r="C178" s="97"/>
      <c r="D178" s="97"/>
      <c r="E178" s="29"/>
      <c r="F178" s="29"/>
      <c r="G178" s="67"/>
      <c r="H178" s="29"/>
      <c r="I178" s="97"/>
      <c r="J178" s="97"/>
      <c r="K178" s="29"/>
      <c r="L178" s="29"/>
      <c r="M178" s="67"/>
      <c r="N178" s="29"/>
      <c r="O178" s="30"/>
      <c r="P178" s="30"/>
      <c r="Q178" s="30"/>
    </row>
    <row r="179" spans="2:17" x14ac:dyDescent="0.3">
      <c r="B179" s="29"/>
      <c r="C179" s="97"/>
      <c r="D179" s="97"/>
      <c r="E179" s="29"/>
      <c r="F179" s="29"/>
      <c r="G179" s="67"/>
      <c r="H179" s="29"/>
      <c r="I179" s="97"/>
      <c r="J179" s="97"/>
      <c r="K179" s="29"/>
      <c r="L179" s="29"/>
      <c r="M179" s="67"/>
      <c r="N179" s="29"/>
      <c r="O179" s="30"/>
      <c r="P179" s="30"/>
      <c r="Q179" s="30"/>
    </row>
    <row r="180" spans="2:17" x14ac:dyDescent="0.3">
      <c r="B180" s="29"/>
      <c r="C180" s="97"/>
      <c r="D180" s="97"/>
      <c r="E180" s="29"/>
      <c r="F180" s="29"/>
      <c r="G180" s="67"/>
      <c r="H180" s="29"/>
      <c r="I180" s="97"/>
      <c r="J180" s="97"/>
      <c r="K180" s="29"/>
      <c r="L180" s="29"/>
      <c r="M180" s="67"/>
      <c r="N180" s="29"/>
      <c r="O180" s="30"/>
      <c r="P180" s="30"/>
      <c r="Q180" s="30"/>
    </row>
    <row r="181" spans="2:17" x14ac:dyDescent="0.3">
      <c r="B181" s="29"/>
      <c r="C181" s="97"/>
      <c r="D181" s="97"/>
      <c r="E181" s="29"/>
      <c r="F181" s="29"/>
      <c r="G181" s="67"/>
      <c r="H181" s="29"/>
      <c r="I181" s="97"/>
      <c r="J181" s="97"/>
      <c r="K181" s="29"/>
      <c r="L181" s="29"/>
      <c r="M181" s="67"/>
      <c r="N181" s="29"/>
      <c r="O181" s="30"/>
      <c r="P181" s="30"/>
      <c r="Q181" s="30"/>
    </row>
    <row r="182" spans="2:17" x14ac:dyDescent="0.3">
      <c r="B182" s="29"/>
      <c r="C182" s="97"/>
      <c r="D182" s="97"/>
      <c r="E182" s="29"/>
      <c r="F182" s="29"/>
      <c r="G182" s="67"/>
      <c r="H182" s="29"/>
      <c r="I182" s="97"/>
      <c r="J182" s="97"/>
      <c r="K182" s="29"/>
      <c r="L182" s="29"/>
      <c r="M182" s="67"/>
      <c r="N182" s="29"/>
      <c r="O182" s="30"/>
      <c r="P182" s="30"/>
      <c r="Q182" s="30"/>
    </row>
    <row r="183" spans="2:17" x14ac:dyDescent="0.3">
      <c r="B183" s="29"/>
      <c r="C183" s="97"/>
      <c r="D183" s="97"/>
      <c r="E183" s="29"/>
      <c r="F183" s="29"/>
      <c r="G183" s="67"/>
      <c r="H183" s="29"/>
      <c r="I183" s="97"/>
      <c r="J183" s="97"/>
      <c r="K183" s="29"/>
      <c r="L183" s="29"/>
      <c r="M183" s="67"/>
      <c r="N183" s="29"/>
      <c r="O183" s="30"/>
      <c r="P183" s="30"/>
      <c r="Q183" s="30"/>
    </row>
    <row r="184" spans="2:17" x14ac:dyDescent="0.3">
      <c r="B184" s="29"/>
      <c r="C184" s="97"/>
      <c r="D184" s="97"/>
      <c r="E184" s="29"/>
      <c r="F184" s="29"/>
      <c r="G184" s="67"/>
      <c r="H184" s="29"/>
      <c r="I184" s="97"/>
      <c r="J184" s="97"/>
      <c r="K184" s="29"/>
      <c r="L184" s="29"/>
      <c r="M184" s="67"/>
      <c r="N184" s="29"/>
      <c r="O184" s="30"/>
      <c r="P184" s="30"/>
      <c r="Q184" s="30"/>
    </row>
    <row r="185" spans="2:17" x14ac:dyDescent="0.3">
      <c r="B185" s="29"/>
      <c r="C185" s="97"/>
      <c r="D185" s="97"/>
      <c r="E185" s="29"/>
      <c r="F185" s="29"/>
      <c r="G185" s="67"/>
      <c r="H185" s="29"/>
      <c r="I185" s="97"/>
      <c r="J185" s="97"/>
      <c r="K185" s="29"/>
      <c r="L185" s="29"/>
      <c r="M185" s="67"/>
      <c r="N185" s="29"/>
      <c r="O185" s="30"/>
      <c r="P185" s="30"/>
      <c r="Q185" s="30"/>
    </row>
    <row r="186" spans="2:17" x14ac:dyDescent="0.3">
      <c r="B186" s="29"/>
      <c r="C186" s="97"/>
      <c r="D186" s="97"/>
      <c r="E186" s="29"/>
      <c r="F186" s="29"/>
      <c r="G186" s="67"/>
      <c r="H186" s="29"/>
      <c r="I186" s="97"/>
      <c r="J186" s="97"/>
      <c r="K186" s="29"/>
      <c r="L186" s="29"/>
      <c r="M186" s="67"/>
      <c r="N186" s="29"/>
      <c r="O186" s="30"/>
      <c r="P186" s="30"/>
      <c r="Q186" s="30"/>
    </row>
    <row r="187" spans="2:17" x14ac:dyDescent="0.3">
      <c r="B187" s="29"/>
      <c r="C187" s="97"/>
      <c r="D187" s="97"/>
      <c r="E187" s="29"/>
      <c r="F187" s="29"/>
      <c r="G187" s="67"/>
      <c r="H187" s="29"/>
      <c r="I187" s="97"/>
      <c r="J187" s="97"/>
      <c r="K187" s="29"/>
      <c r="L187" s="29"/>
      <c r="M187" s="67"/>
      <c r="N187" s="29"/>
      <c r="O187" s="30"/>
      <c r="P187" s="30"/>
      <c r="Q187" s="30"/>
    </row>
    <row r="188" spans="2:17" x14ac:dyDescent="0.3">
      <c r="B188" s="29"/>
      <c r="C188" s="97"/>
      <c r="D188" s="97"/>
      <c r="E188" s="29"/>
      <c r="F188" s="29"/>
      <c r="G188" s="67"/>
      <c r="H188" s="29"/>
      <c r="I188" s="97"/>
      <c r="J188" s="97"/>
      <c r="K188" s="29"/>
      <c r="L188" s="29"/>
      <c r="M188" s="67"/>
      <c r="N188" s="29"/>
      <c r="O188" s="30"/>
      <c r="P188" s="30"/>
      <c r="Q188" s="30"/>
    </row>
    <row r="189" spans="2:17" x14ac:dyDescent="0.3">
      <c r="B189" s="29"/>
      <c r="C189" s="97"/>
      <c r="D189" s="97"/>
      <c r="E189" s="29"/>
      <c r="F189" s="29"/>
      <c r="G189" s="67"/>
      <c r="H189" s="29"/>
      <c r="I189" s="97"/>
      <c r="J189" s="97"/>
      <c r="K189" s="29"/>
      <c r="L189" s="29"/>
      <c r="M189" s="67"/>
      <c r="N189" s="29"/>
      <c r="O189" s="30"/>
      <c r="P189" s="30"/>
      <c r="Q189" s="30"/>
    </row>
    <row r="190" spans="2:17" x14ac:dyDescent="0.3">
      <c r="B190" s="29"/>
      <c r="C190" s="97"/>
      <c r="D190" s="97"/>
      <c r="E190" s="29"/>
      <c r="F190" s="29"/>
      <c r="G190" s="67"/>
      <c r="H190" s="29"/>
      <c r="I190" s="97"/>
      <c r="J190" s="97"/>
      <c r="K190" s="29"/>
      <c r="L190" s="29"/>
      <c r="M190" s="67"/>
      <c r="N190" s="29"/>
      <c r="O190" s="30"/>
      <c r="P190" s="30"/>
      <c r="Q190" s="30"/>
    </row>
    <row r="191" spans="2:17" x14ac:dyDescent="0.3">
      <c r="B191" s="29"/>
      <c r="C191" s="97"/>
      <c r="D191" s="97"/>
      <c r="E191" s="29"/>
      <c r="F191" s="29"/>
      <c r="G191" s="67"/>
      <c r="H191" s="29"/>
      <c r="I191" s="97"/>
      <c r="J191" s="97"/>
      <c r="K191" s="29"/>
      <c r="L191" s="29"/>
      <c r="M191" s="67"/>
      <c r="N191" s="29"/>
      <c r="O191" s="30"/>
      <c r="P191" s="30"/>
      <c r="Q191" s="30"/>
    </row>
    <row r="192" spans="2:17" x14ac:dyDescent="0.3">
      <c r="B192" s="29"/>
      <c r="C192" s="97"/>
      <c r="D192" s="97"/>
      <c r="E192" s="29"/>
      <c r="F192" s="29"/>
      <c r="G192" s="67"/>
      <c r="H192" s="29"/>
      <c r="I192" s="97"/>
      <c r="J192" s="97"/>
      <c r="K192" s="29"/>
      <c r="L192" s="29"/>
      <c r="M192" s="67"/>
      <c r="N192" s="29"/>
      <c r="O192" s="30"/>
      <c r="P192" s="30"/>
      <c r="Q192" s="30"/>
    </row>
    <row r="193" spans="2:17" x14ac:dyDescent="0.3">
      <c r="B193" s="29"/>
      <c r="C193" s="97"/>
      <c r="D193" s="97"/>
      <c r="E193" s="29"/>
      <c r="F193" s="29"/>
      <c r="G193" s="67"/>
      <c r="H193" s="29"/>
      <c r="I193" s="97"/>
      <c r="J193" s="97"/>
      <c r="K193" s="29"/>
      <c r="L193" s="29"/>
      <c r="M193" s="67"/>
      <c r="N193" s="29"/>
      <c r="O193" s="30"/>
      <c r="P193" s="30"/>
      <c r="Q193" s="30"/>
    </row>
    <row r="194" spans="2:17" x14ac:dyDescent="0.3">
      <c r="B194" s="29"/>
      <c r="C194" s="97"/>
      <c r="D194" s="97"/>
      <c r="E194" s="29"/>
      <c r="F194" s="29"/>
      <c r="G194" s="67"/>
      <c r="H194" s="29"/>
      <c r="I194" s="97"/>
      <c r="J194" s="97"/>
      <c r="K194" s="29"/>
      <c r="L194" s="29"/>
      <c r="M194" s="67"/>
      <c r="N194" s="29"/>
      <c r="O194" s="30"/>
      <c r="P194" s="30"/>
      <c r="Q194" s="30"/>
    </row>
    <row r="195" spans="2:17" x14ac:dyDescent="0.3">
      <c r="B195" s="29"/>
      <c r="C195" s="97"/>
      <c r="D195" s="97"/>
      <c r="E195" s="29"/>
      <c r="F195" s="29"/>
      <c r="G195" s="67"/>
      <c r="H195" s="29"/>
      <c r="I195" s="97"/>
      <c r="J195" s="97"/>
      <c r="K195" s="29"/>
      <c r="L195" s="29"/>
      <c r="M195" s="67"/>
      <c r="N195" s="29"/>
      <c r="O195" s="30"/>
      <c r="P195" s="30"/>
      <c r="Q195" s="30"/>
    </row>
    <row r="196" spans="2:17" x14ac:dyDescent="0.3">
      <c r="B196" s="29"/>
      <c r="C196" s="97"/>
      <c r="D196" s="97"/>
      <c r="E196" s="29"/>
      <c r="F196" s="29"/>
      <c r="G196" s="67"/>
      <c r="H196" s="29"/>
      <c r="I196" s="97"/>
      <c r="J196" s="97"/>
      <c r="K196" s="29"/>
      <c r="L196" s="29"/>
      <c r="M196" s="67"/>
      <c r="N196" s="29"/>
      <c r="O196" s="30"/>
      <c r="P196" s="30"/>
      <c r="Q196" s="30"/>
    </row>
    <row r="197" spans="2:17" x14ac:dyDescent="0.3">
      <c r="B197" s="29"/>
      <c r="C197" s="97"/>
      <c r="D197" s="97"/>
      <c r="E197" s="29"/>
      <c r="F197" s="29"/>
      <c r="G197" s="67"/>
      <c r="H197" s="29"/>
      <c r="I197" s="97"/>
      <c r="J197" s="97"/>
      <c r="K197" s="29"/>
      <c r="L197" s="29"/>
      <c r="M197" s="67"/>
      <c r="N197" s="29"/>
      <c r="O197" s="30"/>
      <c r="P197" s="30"/>
      <c r="Q197" s="30"/>
    </row>
    <row r="198" spans="2:17" x14ac:dyDescent="0.3">
      <c r="B198" s="29"/>
      <c r="C198" s="97"/>
      <c r="D198" s="97"/>
      <c r="E198" s="29"/>
      <c r="F198" s="29"/>
      <c r="G198" s="67"/>
      <c r="H198" s="29"/>
      <c r="I198" s="97"/>
      <c r="J198" s="97"/>
      <c r="K198" s="29"/>
      <c r="L198" s="29"/>
      <c r="M198" s="67"/>
      <c r="N198" s="29"/>
      <c r="O198" s="30"/>
      <c r="P198" s="30"/>
      <c r="Q198" s="30"/>
    </row>
    <row r="199" spans="2:17" x14ac:dyDescent="0.3">
      <c r="B199" s="29"/>
      <c r="C199" s="97"/>
      <c r="D199" s="97"/>
      <c r="E199" s="29"/>
      <c r="F199" s="29"/>
      <c r="G199" s="67"/>
      <c r="H199" s="29"/>
      <c r="I199" s="97"/>
      <c r="J199" s="97"/>
      <c r="K199" s="29"/>
      <c r="L199" s="29"/>
      <c r="M199" s="67"/>
      <c r="N199" s="29"/>
      <c r="O199" s="30"/>
      <c r="P199" s="30"/>
      <c r="Q199" s="30"/>
    </row>
    <row r="200" spans="2:17" x14ac:dyDescent="0.3">
      <c r="B200" s="29"/>
      <c r="C200" s="97"/>
      <c r="D200" s="97"/>
      <c r="E200" s="29"/>
      <c r="F200" s="29"/>
      <c r="G200" s="67"/>
      <c r="H200" s="29"/>
      <c r="I200" s="97"/>
      <c r="J200" s="97"/>
      <c r="K200" s="29"/>
      <c r="L200" s="29"/>
      <c r="M200" s="67"/>
      <c r="N200" s="29"/>
      <c r="O200" s="30"/>
      <c r="P200" s="30"/>
      <c r="Q200" s="30"/>
    </row>
    <row r="201" spans="2:17" x14ac:dyDescent="0.3">
      <c r="B201" s="29"/>
      <c r="C201" s="97"/>
      <c r="D201" s="97"/>
      <c r="E201" s="29"/>
      <c r="F201" s="29"/>
      <c r="G201" s="67"/>
      <c r="H201" s="29"/>
      <c r="I201" s="97"/>
      <c r="J201" s="97"/>
      <c r="K201" s="29"/>
      <c r="L201" s="29"/>
      <c r="M201" s="67"/>
      <c r="N201" s="29"/>
      <c r="O201" s="30"/>
      <c r="P201" s="30"/>
      <c r="Q201" s="30"/>
    </row>
    <row r="202" spans="2:17" x14ac:dyDescent="0.3">
      <c r="B202" s="29"/>
      <c r="C202" s="97"/>
      <c r="D202" s="97"/>
      <c r="E202" s="29"/>
      <c r="F202" s="29"/>
      <c r="G202" s="67"/>
      <c r="H202" s="29"/>
      <c r="I202" s="97"/>
      <c r="J202" s="97"/>
      <c r="K202" s="29"/>
      <c r="L202" s="29"/>
      <c r="M202" s="67"/>
      <c r="N202" s="29"/>
      <c r="O202" s="30"/>
      <c r="P202" s="30"/>
      <c r="Q202" s="30"/>
    </row>
    <row r="203" spans="2:17" x14ac:dyDescent="0.3">
      <c r="B203" s="29"/>
      <c r="C203" s="97"/>
      <c r="D203" s="97"/>
      <c r="E203" s="29"/>
      <c r="F203" s="29"/>
      <c r="G203" s="67"/>
      <c r="H203" s="29"/>
      <c r="I203" s="97"/>
      <c r="J203" s="97"/>
      <c r="K203" s="29"/>
      <c r="L203" s="29"/>
      <c r="M203" s="67"/>
      <c r="N203" s="29"/>
      <c r="O203" s="30"/>
      <c r="P203" s="30"/>
      <c r="Q203" s="30"/>
    </row>
    <row r="204" spans="2:17" x14ac:dyDescent="0.3">
      <c r="B204" s="29"/>
      <c r="C204" s="97"/>
      <c r="D204" s="97"/>
      <c r="E204" s="29"/>
      <c r="F204" s="29"/>
      <c r="G204" s="67"/>
      <c r="H204" s="29"/>
      <c r="I204" s="97"/>
      <c r="J204" s="97"/>
      <c r="K204" s="29"/>
      <c r="L204" s="29"/>
      <c r="M204" s="67"/>
      <c r="N204" s="29"/>
      <c r="O204" s="30"/>
      <c r="P204" s="30"/>
      <c r="Q204" s="30"/>
    </row>
    <row r="205" spans="2:17" x14ac:dyDescent="0.3">
      <c r="B205" s="29"/>
      <c r="C205" s="97"/>
      <c r="D205" s="97"/>
      <c r="E205" s="29"/>
      <c r="F205" s="29"/>
      <c r="G205" s="67"/>
      <c r="H205" s="29"/>
      <c r="I205" s="97"/>
      <c r="J205" s="97"/>
      <c r="K205" s="29"/>
      <c r="L205" s="29"/>
      <c r="M205" s="67"/>
      <c r="N205" s="29"/>
      <c r="O205" s="30"/>
      <c r="P205" s="30"/>
      <c r="Q205" s="30"/>
    </row>
    <row r="206" spans="2:17" x14ac:dyDescent="0.3">
      <c r="B206" s="29"/>
      <c r="C206" s="97"/>
      <c r="D206" s="97"/>
      <c r="E206" s="29"/>
      <c r="F206" s="29"/>
      <c r="G206" s="67"/>
      <c r="H206" s="29"/>
      <c r="I206" s="97"/>
      <c r="J206" s="97"/>
      <c r="K206" s="29"/>
      <c r="L206" s="29"/>
      <c r="M206" s="67"/>
      <c r="N206" s="29"/>
      <c r="O206" s="30"/>
      <c r="P206" s="30"/>
      <c r="Q206" s="30"/>
    </row>
    <row r="207" spans="2:17" x14ac:dyDescent="0.3">
      <c r="B207" s="29"/>
      <c r="C207" s="97"/>
      <c r="D207" s="97"/>
      <c r="E207" s="29"/>
      <c r="F207" s="29"/>
      <c r="G207" s="67"/>
      <c r="H207" s="29"/>
      <c r="I207" s="97"/>
      <c r="J207" s="97"/>
      <c r="K207" s="29"/>
      <c r="L207" s="29"/>
      <c r="M207" s="67"/>
      <c r="N207" s="29"/>
      <c r="O207" s="30"/>
      <c r="P207" s="30"/>
      <c r="Q207" s="30"/>
    </row>
    <row r="208" spans="2:17" x14ac:dyDescent="0.3">
      <c r="B208" s="29"/>
      <c r="C208" s="97"/>
      <c r="D208" s="97"/>
      <c r="E208" s="29"/>
      <c r="F208" s="29"/>
      <c r="G208" s="67"/>
      <c r="H208" s="29"/>
      <c r="I208" s="97"/>
      <c r="J208" s="97"/>
      <c r="K208" s="29"/>
      <c r="L208" s="29"/>
      <c r="M208" s="67"/>
      <c r="N208" s="29"/>
      <c r="O208" s="30"/>
      <c r="P208" s="30"/>
      <c r="Q208" s="30"/>
    </row>
    <row r="209" spans="2:17" x14ac:dyDescent="0.3">
      <c r="B209" s="29"/>
      <c r="C209" s="97"/>
      <c r="D209" s="97"/>
      <c r="E209" s="29"/>
      <c r="F209" s="29"/>
      <c r="G209" s="67"/>
      <c r="H209" s="29"/>
      <c r="I209" s="97"/>
      <c r="J209" s="97"/>
      <c r="K209" s="29"/>
      <c r="L209" s="29"/>
      <c r="M209" s="67"/>
      <c r="N209" s="29"/>
      <c r="O209" s="30"/>
      <c r="P209" s="30"/>
      <c r="Q209" s="30"/>
    </row>
    <row r="210" spans="2:17" x14ac:dyDescent="0.3">
      <c r="B210" s="29"/>
      <c r="C210" s="97"/>
      <c r="D210" s="97"/>
      <c r="E210" s="29"/>
      <c r="F210" s="29"/>
      <c r="G210" s="67"/>
      <c r="H210" s="29"/>
      <c r="I210" s="97"/>
      <c r="J210" s="97"/>
      <c r="K210" s="29"/>
      <c r="L210" s="29"/>
      <c r="M210" s="67"/>
      <c r="N210" s="29"/>
      <c r="O210" s="30"/>
      <c r="P210" s="30"/>
      <c r="Q210" s="30"/>
    </row>
    <row r="211" spans="2:17" x14ac:dyDescent="0.3">
      <c r="B211" s="29"/>
      <c r="C211" s="97"/>
      <c r="D211" s="97"/>
      <c r="E211" s="29"/>
      <c r="F211" s="29"/>
      <c r="G211" s="67"/>
      <c r="H211" s="29"/>
      <c r="I211" s="97"/>
      <c r="J211" s="97"/>
      <c r="K211" s="29"/>
      <c r="L211" s="29"/>
      <c r="M211" s="67"/>
      <c r="N211" s="29"/>
      <c r="O211" s="30"/>
      <c r="P211" s="30"/>
      <c r="Q211" s="30"/>
    </row>
    <row r="212" spans="2:17" x14ac:dyDescent="0.3">
      <c r="B212" s="29"/>
      <c r="C212" s="97"/>
      <c r="D212" s="97"/>
      <c r="E212" s="29"/>
      <c r="F212" s="29"/>
      <c r="G212" s="67"/>
      <c r="H212" s="29"/>
      <c r="I212" s="97"/>
      <c r="J212" s="97"/>
      <c r="K212" s="29"/>
      <c r="L212" s="29"/>
      <c r="M212" s="67"/>
      <c r="N212" s="29"/>
      <c r="O212" s="30"/>
      <c r="P212" s="30"/>
      <c r="Q212" s="30"/>
    </row>
    <row r="213" spans="2:17" x14ac:dyDescent="0.3">
      <c r="B213" s="29"/>
      <c r="C213" s="97"/>
      <c r="D213" s="97"/>
      <c r="E213" s="29"/>
      <c r="F213" s="29"/>
      <c r="G213" s="67"/>
      <c r="H213" s="29"/>
      <c r="I213" s="97"/>
      <c r="J213" s="97"/>
      <c r="K213" s="29"/>
      <c r="L213" s="29"/>
      <c r="M213" s="67"/>
      <c r="N213" s="29"/>
      <c r="O213" s="30"/>
      <c r="P213" s="30"/>
      <c r="Q213" s="30"/>
    </row>
    <row r="214" spans="2:17" x14ac:dyDescent="0.3">
      <c r="B214" s="29"/>
      <c r="C214" s="97"/>
      <c r="D214" s="97"/>
      <c r="E214" s="29"/>
      <c r="F214" s="29"/>
      <c r="G214" s="67"/>
      <c r="H214" s="29"/>
      <c r="I214" s="97"/>
      <c r="J214" s="97"/>
      <c r="K214" s="29"/>
      <c r="L214" s="29"/>
      <c r="M214" s="67"/>
      <c r="N214" s="29"/>
      <c r="O214" s="30"/>
      <c r="P214" s="30"/>
      <c r="Q214" s="30"/>
    </row>
    <row r="215" spans="2:17" x14ac:dyDescent="0.3">
      <c r="B215" s="29"/>
      <c r="C215" s="97"/>
      <c r="D215" s="97"/>
      <c r="E215" s="29"/>
      <c r="F215" s="29"/>
      <c r="G215" s="67"/>
      <c r="H215" s="29"/>
      <c r="I215" s="97"/>
      <c r="J215" s="97"/>
      <c r="K215" s="29"/>
      <c r="L215" s="29"/>
      <c r="M215" s="67"/>
      <c r="N215" s="29"/>
      <c r="O215" s="30"/>
      <c r="P215" s="30"/>
      <c r="Q215" s="30"/>
    </row>
    <row r="216" spans="2:17" x14ac:dyDescent="0.3">
      <c r="B216" s="29"/>
      <c r="C216" s="97"/>
      <c r="D216" s="97"/>
      <c r="E216" s="29"/>
      <c r="F216" s="29"/>
      <c r="G216" s="67"/>
      <c r="H216" s="29"/>
      <c r="I216" s="97"/>
      <c r="J216" s="97"/>
      <c r="K216" s="29"/>
      <c r="L216" s="29"/>
      <c r="M216" s="67"/>
      <c r="N216" s="29"/>
      <c r="O216" s="30"/>
      <c r="P216" s="30"/>
      <c r="Q216" s="30"/>
    </row>
    <row r="217" spans="2:17" x14ac:dyDescent="0.3">
      <c r="B217" s="29"/>
      <c r="C217" s="97"/>
      <c r="D217" s="97"/>
      <c r="E217" s="29"/>
      <c r="F217" s="29"/>
      <c r="G217" s="67"/>
      <c r="H217" s="29"/>
      <c r="I217" s="97"/>
      <c r="J217" s="97"/>
      <c r="K217" s="29"/>
      <c r="L217" s="29"/>
      <c r="M217" s="67"/>
      <c r="N217" s="29"/>
      <c r="O217" s="30"/>
      <c r="P217" s="30"/>
      <c r="Q217" s="30"/>
    </row>
    <row r="218" spans="2:17" x14ac:dyDescent="0.3">
      <c r="B218" s="29"/>
      <c r="C218" s="97"/>
      <c r="D218" s="97"/>
      <c r="E218" s="29"/>
      <c r="F218" s="29"/>
      <c r="G218" s="67"/>
      <c r="H218" s="29"/>
      <c r="I218" s="97"/>
      <c r="J218" s="97"/>
      <c r="K218" s="29"/>
      <c r="L218" s="29"/>
      <c r="M218" s="67"/>
      <c r="N218" s="29"/>
      <c r="O218" s="30"/>
      <c r="P218" s="30"/>
      <c r="Q218" s="30"/>
    </row>
    <row r="219" spans="2:17" x14ac:dyDescent="0.3">
      <c r="B219" s="29"/>
      <c r="C219" s="97"/>
      <c r="D219" s="97"/>
      <c r="E219" s="29"/>
      <c r="F219" s="29"/>
      <c r="G219" s="67"/>
      <c r="H219" s="29"/>
      <c r="I219" s="97"/>
      <c r="J219" s="97"/>
      <c r="K219" s="29"/>
      <c r="L219" s="29"/>
      <c r="M219" s="67"/>
      <c r="N219" s="29"/>
      <c r="O219" s="30"/>
      <c r="P219" s="30"/>
      <c r="Q219" s="30"/>
    </row>
    <row r="220" spans="2:17" x14ac:dyDescent="0.3">
      <c r="B220" s="29"/>
      <c r="C220" s="97"/>
      <c r="D220" s="97"/>
      <c r="E220" s="29"/>
      <c r="F220" s="29"/>
      <c r="G220" s="67"/>
      <c r="H220" s="29"/>
      <c r="I220" s="97"/>
      <c r="J220" s="97"/>
      <c r="K220" s="29"/>
      <c r="L220" s="29"/>
      <c r="M220" s="67"/>
      <c r="N220" s="29"/>
      <c r="O220" s="30"/>
      <c r="P220" s="30"/>
      <c r="Q220" s="30"/>
    </row>
    <row r="221" spans="2:17" x14ac:dyDescent="0.3">
      <c r="B221" s="29"/>
      <c r="C221" s="97"/>
      <c r="D221" s="97"/>
      <c r="E221" s="29"/>
      <c r="F221" s="29"/>
      <c r="G221" s="67"/>
      <c r="H221" s="29"/>
      <c r="I221" s="97"/>
      <c r="J221" s="97"/>
      <c r="K221" s="29"/>
      <c r="L221" s="29"/>
      <c r="M221" s="67"/>
      <c r="N221" s="29"/>
      <c r="O221" s="30"/>
      <c r="P221" s="30"/>
      <c r="Q221" s="30"/>
    </row>
    <row r="222" spans="2:17" x14ac:dyDescent="0.3">
      <c r="B222" s="29"/>
      <c r="C222" s="97"/>
      <c r="D222" s="97"/>
      <c r="E222" s="29"/>
      <c r="F222" s="29"/>
      <c r="G222" s="67"/>
      <c r="H222" s="29"/>
      <c r="I222" s="97"/>
      <c r="J222" s="97"/>
      <c r="K222" s="29"/>
      <c r="L222" s="29"/>
      <c r="M222" s="67"/>
      <c r="N222" s="29"/>
      <c r="O222" s="30"/>
      <c r="P222" s="30"/>
      <c r="Q222" s="30"/>
    </row>
    <row r="223" spans="2:17" x14ac:dyDescent="0.3">
      <c r="B223" s="29"/>
      <c r="C223" s="97"/>
      <c r="D223" s="97"/>
      <c r="E223" s="29"/>
      <c r="F223" s="29"/>
      <c r="G223" s="67"/>
      <c r="H223" s="29"/>
      <c r="I223" s="97"/>
      <c r="J223" s="97"/>
      <c r="K223" s="29"/>
      <c r="L223" s="29"/>
      <c r="M223" s="67"/>
      <c r="N223" s="29"/>
      <c r="O223" s="30"/>
      <c r="P223" s="30"/>
      <c r="Q223" s="30"/>
    </row>
    <row r="224" spans="2:17" x14ac:dyDescent="0.3">
      <c r="B224" s="29"/>
      <c r="C224" s="97"/>
      <c r="D224" s="97"/>
      <c r="E224" s="29"/>
      <c r="F224" s="29"/>
      <c r="G224" s="67"/>
      <c r="H224" s="29"/>
      <c r="I224" s="97"/>
      <c r="J224" s="97"/>
      <c r="K224" s="29"/>
      <c r="L224" s="29"/>
      <c r="M224" s="67"/>
      <c r="N224" s="29"/>
      <c r="O224" s="30"/>
      <c r="P224" s="30"/>
      <c r="Q224" s="30"/>
    </row>
    <row r="225" spans="2:17" x14ac:dyDescent="0.3">
      <c r="B225" s="29"/>
      <c r="C225" s="97"/>
      <c r="D225" s="97"/>
      <c r="E225" s="29"/>
      <c r="F225" s="29"/>
      <c r="G225" s="67"/>
      <c r="H225" s="29"/>
      <c r="I225" s="97"/>
      <c r="J225" s="97"/>
      <c r="K225" s="29"/>
      <c r="L225" s="29"/>
      <c r="M225" s="67"/>
      <c r="N225" s="29"/>
      <c r="O225" s="30"/>
      <c r="P225" s="30"/>
      <c r="Q225" s="30"/>
    </row>
    <row r="226" spans="2:17" x14ac:dyDescent="0.3">
      <c r="B226" s="29"/>
      <c r="C226" s="97"/>
      <c r="D226" s="97"/>
      <c r="E226" s="29"/>
      <c r="F226" s="29"/>
      <c r="G226" s="67"/>
      <c r="H226" s="29"/>
      <c r="I226" s="97"/>
      <c r="J226" s="97"/>
      <c r="K226" s="29"/>
      <c r="L226" s="29"/>
      <c r="M226" s="67"/>
      <c r="N226" s="29"/>
      <c r="O226" s="30"/>
      <c r="P226" s="30"/>
      <c r="Q226" s="30"/>
    </row>
    <row r="227" spans="2:17" x14ac:dyDescent="0.3">
      <c r="B227" s="29"/>
      <c r="C227" s="97"/>
      <c r="D227" s="97"/>
      <c r="E227" s="29"/>
      <c r="F227" s="29"/>
      <c r="G227" s="67"/>
      <c r="H227" s="29"/>
      <c r="I227" s="97"/>
      <c r="J227" s="97"/>
      <c r="K227" s="29"/>
      <c r="L227" s="29"/>
      <c r="M227" s="67"/>
      <c r="N227" s="29"/>
      <c r="O227" s="30"/>
      <c r="P227" s="30"/>
      <c r="Q227" s="30"/>
    </row>
    <row r="228" spans="2:17" x14ac:dyDescent="0.3">
      <c r="B228" s="29"/>
      <c r="C228" s="97"/>
      <c r="D228" s="97"/>
      <c r="E228" s="29"/>
      <c r="F228" s="29"/>
      <c r="G228" s="67"/>
      <c r="H228" s="29"/>
      <c r="I228" s="97"/>
      <c r="J228" s="97"/>
      <c r="K228" s="29"/>
      <c r="L228" s="29"/>
      <c r="M228" s="67"/>
      <c r="N228" s="29"/>
      <c r="O228" s="30"/>
      <c r="P228" s="30"/>
      <c r="Q228" s="30"/>
    </row>
    <row r="229" spans="2:17" x14ac:dyDescent="0.3">
      <c r="B229" s="29"/>
      <c r="C229" s="97"/>
      <c r="D229" s="97"/>
      <c r="E229" s="29"/>
      <c r="F229" s="29"/>
      <c r="G229" s="67"/>
      <c r="H229" s="29"/>
      <c r="I229" s="97"/>
      <c r="J229" s="97"/>
      <c r="K229" s="29"/>
      <c r="L229" s="29"/>
      <c r="M229" s="67"/>
      <c r="N229" s="29"/>
      <c r="O229" s="30"/>
      <c r="P229" s="30"/>
      <c r="Q229" s="30"/>
    </row>
    <row r="230" spans="2:17" x14ac:dyDescent="0.3">
      <c r="B230" s="29"/>
      <c r="C230" s="97"/>
      <c r="D230" s="97"/>
      <c r="E230" s="29"/>
      <c r="F230" s="29"/>
      <c r="G230" s="67"/>
      <c r="H230" s="29"/>
      <c r="I230" s="97"/>
      <c r="J230" s="97"/>
      <c r="K230" s="29"/>
      <c r="L230" s="29"/>
      <c r="M230" s="67"/>
      <c r="N230" s="29"/>
      <c r="O230" s="30"/>
      <c r="P230" s="30"/>
      <c r="Q230" s="30"/>
    </row>
    <row r="231" spans="2:17" x14ac:dyDescent="0.3">
      <c r="B231" s="29"/>
      <c r="C231" s="97"/>
      <c r="D231" s="97"/>
      <c r="E231" s="29"/>
      <c r="F231" s="29"/>
      <c r="G231" s="67"/>
      <c r="H231" s="29"/>
      <c r="I231" s="97"/>
      <c r="J231" s="97"/>
      <c r="K231" s="29"/>
      <c r="L231" s="29"/>
      <c r="M231" s="67"/>
      <c r="N231" s="29"/>
      <c r="O231" s="30"/>
      <c r="P231" s="30"/>
      <c r="Q231" s="30"/>
    </row>
    <row r="232" spans="2:17" x14ac:dyDescent="0.3">
      <c r="B232" s="29"/>
      <c r="C232" s="97"/>
      <c r="D232" s="97"/>
      <c r="E232" s="29"/>
      <c r="F232" s="29"/>
      <c r="G232" s="67"/>
      <c r="H232" s="29"/>
      <c r="I232" s="97"/>
      <c r="J232" s="97"/>
      <c r="K232" s="29"/>
      <c r="L232" s="29"/>
      <c r="M232" s="67"/>
      <c r="N232" s="29"/>
      <c r="O232" s="30"/>
      <c r="P232" s="30"/>
      <c r="Q232" s="30"/>
    </row>
    <row r="233" spans="2:17" x14ac:dyDescent="0.3">
      <c r="B233" s="29"/>
      <c r="C233" s="97"/>
      <c r="D233" s="97"/>
      <c r="E233" s="29"/>
      <c r="F233" s="29"/>
      <c r="G233" s="67"/>
      <c r="H233" s="29"/>
      <c r="I233" s="97"/>
      <c r="J233" s="97"/>
      <c r="K233" s="29"/>
      <c r="L233" s="29"/>
      <c r="M233" s="67"/>
      <c r="N233" s="29"/>
      <c r="O233" s="30"/>
      <c r="P233" s="30"/>
      <c r="Q233" s="30"/>
    </row>
    <row r="234" spans="2:17" x14ac:dyDescent="0.3">
      <c r="B234" s="29"/>
      <c r="C234" s="97"/>
      <c r="D234" s="97"/>
      <c r="E234" s="29"/>
      <c r="F234" s="29"/>
      <c r="G234" s="67"/>
      <c r="H234" s="29"/>
      <c r="I234" s="97"/>
      <c r="J234" s="97"/>
      <c r="K234" s="29"/>
      <c r="L234" s="29"/>
      <c r="M234" s="67"/>
      <c r="N234" s="29"/>
      <c r="O234" s="30"/>
      <c r="P234" s="30"/>
      <c r="Q234" s="30"/>
    </row>
    <row r="235" spans="2:17" x14ac:dyDescent="0.3">
      <c r="B235" s="29"/>
      <c r="C235" s="97"/>
      <c r="D235" s="97"/>
      <c r="E235" s="29"/>
      <c r="F235" s="29"/>
      <c r="G235" s="67"/>
      <c r="H235" s="29"/>
      <c r="I235" s="97"/>
      <c r="J235" s="97"/>
      <c r="K235" s="29"/>
      <c r="L235" s="29"/>
      <c r="M235" s="67"/>
      <c r="N235" s="29"/>
      <c r="O235" s="30"/>
      <c r="P235" s="30"/>
      <c r="Q235" s="30"/>
    </row>
    <row r="236" spans="2:17" x14ac:dyDescent="0.3">
      <c r="B236" s="29"/>
      <c r="C236" s="97"/>
      <c r="D236" s="97"/>
      <c r="E236" s="29"/>
      <c r="F236" s="29"/>
      <c r="G236" s="67"/>
      <c r="H236" s="29"/>
      <c r="I236" s="97"/>
      <c r="J236" s="97"/>
      <c r="K236" s="29"/>
      <c r="L236" s="29"/>
      <c r="M236" s="67"/>
      <c r="N236" s="29"/>
      <c r="O236" s="30"/>
      <c r="P236" s="30"/>
      <c r="Q236" s="30"/>
    </row>
    <row r="237" spans="2:17" x14ac:dyDescent="0.3">
      <c r="B237" s="29"/>
      <c r="C237" s="97"/>
      <c r="D237" s="97"/>
      <c r="E237" s="29"/>
      <c r="F237" s="29"/>
      <c r="G237" s="67"/>
      <c r="H237" s="29"/>
      <c r="I237" s="97"/>
      <c r="J237" s="97"/>
      <c r="K237" s="29"/>
      <c r="L237" s="29"/>
      <c r="M237" s="67"/>
      <c r="N237" s="29"/>
      <c r="O237" s="30"/>
      <c r="P237" s="30"/>
      <c r="Q237" s="30"/>
    </row>
    <row r="238" spans="2:17" x14ac:dyDescent="0.3">
      <c r="B238" s="29"/>
      <c r="C238" s="97"/>
      <c r="D238" s="97"/>
      <c r="E238" s="29"/>
      <c r="F238" s="29"/>
      <c r="G238" s="67"/>
      <c r="H238" s="29"/>
      <c r="I238" s="97"/>
      <c r="J238" s="97"/>
      <c r="K238" s="29"/>
      <c r="L238" s="29"/>
      <c r="M238" s="67"/>
      <c r="N238" s="29"/>
      <c r="O238" s="30"/>
      <c r="P238" s="30"/>
      <c r="Q238" s="30"/>
    </row>
    <row r="239" spans="2:17" x14ac:dyDescent="0.3">
      <c r="B239" s="29"/>
      <c r="C239" s="97"/>
      <c r="D239" s="97"/>
      <c r="E239" s="29"/>
      <c r="F239" s="29"/>
      <c r="G239" s="67"/>
      <c r="H239" s="29"/>
      <c r="I239" s="97"/>
      <c r="J239" s="97"/>
      <c r="K239" s="29"/>
      <c r="L239" s="29"/>
      <c r="M239" s="67"/>
      <c r="N239" s="29"/>
      <c r="O239" s="30"/>
      <c r="P239" s="30"/>
      <c r="Q239" s="30"/>
    </row>
    <row r="240" spans="2:17" x14ac:dyDescent="0.3">
      <c r="B240" s="29"/>
      <c r="C240" s="97"/>
      <c r="D240" s="97"/>
      <c r="E240" s="29"/>
      <c r="F240" s="29"/>
      <c r="G240" s="67"/>
      <c r="H240" s="29"/>
      <c r="I240" s="97"/>
      <c r="J240" s="97"/>
      <c r="K240" s="29"/>
      <c r="L240" s="29"/>
      <c r="M240" s="67"/>
      <c r="N240" s="29"/>
      <c r="O240" s="30"/>
      <c r="P240" s="30"/>
      <c r="Q240" s="30"/>
    </row>
    <row r="241" spans="2:17" x14ac:dyDescent="0.3">
      <c r="B241" s="29"/>
      <c r="C241" s="97"/>
      <c r="D241" s="97"/>
      <c r="E241" s="29"/>
      <c r="F241" s="29"/>
      <c r="G241" s="67"/>
      <c r="H241" s="29"/>
      <c r="I241" s="97"/>
      <c r="J241" s="97"/>
      <c r="K241" s="29"/>
      <c r="L241" s="29"/>
      <c r="M241" s="67"/>
      <c r="N241" s="29"/>
      <c r="O241" s="30"/>
      <c r="P241" s="30"/>
      <c r="Q241" s="30"/>
    </row>
    <row r="242" spans="2:17" x14ac:dyDescent="0.3">
      <c r="B242" s="29"/>
      <c r="C242" s="97"/>
      <c r="D242" s="97"/>
      <c r="E242" s="29"/>
      <c r="F242" s="29"/>
      <c r="G242" s="67"/>
      <c r="H242" s="29"/>
      <c r="I242" s="97"/>
      <c r="J242" s="97"/>
      <c r="K242" s="29"/>
      <c r="L242" s="29"/>
      <c r="M242" s="67"/>
      <c r="N242" s="29"/>
      <c r="O242" s="30"/>
      <c r="P242" s="30"/>
      <c r="Q242" s="30"/>
    </row>
    <row r="243" spans="2:17" x14ac:dyDescent="0.3">
      <c r="B243" s="29"/>
      <c r="C243" s="97"/>
      <c r="D243" s="97"/>
      <c r="E243" s="29"/>
      <c r="F243" s="29"/>
      <c r="G243" s="67"/>
      <c r="H243" s="29"/>
      <c r="I243" s="97"/>
      <c r="J243" s="97"/>
      <c r="K243" s="29"/>
      <c r="L243" s="29"/>
      <c r="M243" s="67"/>
      <c r="N243" s="29"/>
      <c r="O243" s="30"/>
      <c r="P243" s="30"/>
      <c r="Q243" s="30"/>
    </row>
  </sheetData>
  <mergeCells count="3">
    <mergeCell ref="B5:G5"/>
    <mergeCell ref="H5:M5"/>
    <mergeCell ref="A2:N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31">
    <tabColor indexed="52"/>
    <outlinePr applyStyles="1" summaryBelow="0"/>
    <pageSetUpPr fitToPage="1"/>
  </sheetPr>
  <dimension ref="A2:S247"/>
  <sheetViews>
    <sheetView workbookViewId="0">
      <selection activeCell="B36" sqref="B36"/>
    </sheetView>
  </sheetViews>
  <sheetFormatPr defaultColWidth="9.109375" defaultRowHeight="13.8" outlineLevelRow="2" x14ac:dyDescent="0.3"/>
  <cols>
    <col min="1" max="1" width="63.33203125" style="26" bestFit="1" customWidth="1"/>
    <col min="2" max="2" width="12.6640625" style="27" bestFit="1" customWidth="1"/>
    <col min="3" max="3" width="18.33203125" style="96" bestFit="1" customWidth="1"/>
    <col min="4" max="4" width="18.44140625" style="96" bestFit="1" customWidth="1"/>
    <col min="5" max="5" width="13.44140625" style="27" bestFit="1" customWidth="1"/>
    <col min="6" max="6" width="14.44140625" style="27" bestFit="1" customWidth="1"/>
    <col min="7" max="7" width="10.6640625" style="76" bestFit="1" customWidth="1"/>
    <col min="8" max="8" width="12.6640625" style="27" bestFit="1" customWidth="1"/>
    <col min="9" max="9" width="18.33203125" style="96" bestFit="1" customWidth="1"/>
    <col min="10" max="10" width="18.44140625" style="96" bestFit="1" customWidth="1"/>
    <col min="11" max="12" width="14.44140625" style="27" bestFit="1" customWidth="1"/>
    <col min="13" max="13" width="10.6640625" style="76" bestFit="1" customWidth="1"/>
    <col min="14" max="14" width="16.109375" style="27" bestFit="1" customWidth="1"/>
    <col min="15" max="15" width="9.109375" style="26" customWidth="1"/>
    <col min="16" max="16384" width="9.109375" style="26"/>
  </cols>
  <sheetData>
    <row r="2" spans="1:19" ht="18" x14ac:dyDescent="0.35">
      <c r="A2" s="5" t="str">
        <f>DEBT_CURR_STRUCT&amp;" "&amp;EXTENDED</f>
        <v>Валютна структура боргу на кінець попереднього року та на звітну дату (розширений)</v>
      </c>
      <c r="B2" s="3"/>
      <c r="C2" s="3"/>
      <c r="D2" s="3"/>
      <c r="E2" s="3"/>
      <c r="F2" s="3"/>
      <c r="G2" s="3"/>
      <c r="H2" s="3"/>
      <c r="I2" s="3"/>
      <c r="J2" s="3"/>
      <c r="K2" s="3"/>
      <c r="L2" s="3"/>
      <c r="M2" s="3"/>
      <c r="N2" s="3"/>
      <c r="O2" s="30"/>
      <c r="P2" s="30"/>
      <c r="Q2" s="30"/>
      <c r="R2" s="30"/>
      <c r="S2" s="30"/>
    </row>
    <row r="3" spans="1:19" x14ac:dyDescent="0.3">
      <c r="A3" s="28"/>
    </row>
    <row r="4" spans="1:19" s="31" customFormat="1" x14ac:dyDescent="0.3">
      <c r="B4" s="32"/>
      <c r="C4" s="98"/>
      <c r="D4" s="98"/>
      <c r="E4" s="32"/>
      <c r="F4" s="32"/>
      <c r="G4" s="71"/>
      <c r="H4" s="32"/>
      <c r="I4" s="98"/>
      <c r="J4" s="98"/>
      <c r="K4" s="32"/>
      <c r="L4" s="32"/>
      <c r="M4" s="71"/>
      <c r="N4" s="31" t="str">
        <f>VALVAL</f>
        <v>млрд. одиниць</v>
      </c>
    </row>
    <row r="5" spans="1:19" s="57" customFormat="1" x14ac:dyDescent="0.25">
      <c r="A5" s="82"/>
      <c r="B5" s="291">
        <v>46022</v>
      </c>
      <c r="C5" s="292"/>
      <c r="D5" s="292"/>
      <c r="E5" s="292"/>
      <c r="F5" s="292"/>
      <c r="G5" s="293"/>
      <c r="H5" s="291">
        <v>46265</v>
      </c>
      <c r="I5" s="292"/>
      <c r="J5" s="292"/>
      <c r="K5" s="292"/>
      <c r="L5" s="292"/>
      <c r="M5" s="293"/>
      <c r="N5" s="83"/>
    </row>
    <row r="6" spans="1:19" s="84" customFormat="1" x14ac:dyDescent="0.25">
      <c r="A6" s="16"/>
      <c r="B6" s="72" t="str">
        <f>ORIGINAL</f>
        <v>оріг.</v>
      </c>
      <c r="C6" s="99" t="str">
        <f>EXCH_RATE_TO_USD</f>
        <v>курс до USD</v>
      </c>
      <c r="D6" s="99" t="str">
        <f>EXCH_RATE_TO_UAH</f>
        <v>курс до UAH</v>
      </c>
      <c r="E6" s="72" t="str">
        <f>USD</f>
        <v>дол. США</v>
      </c>
      <c r="F6" s="72" t="str">
        <f>UAH</f>
        <v>грн.</v>
      </c>
      <c r="G6" s="73" t="s">
        <v>0</v>
      </c>
      <c r="H6" s="72" t="str">
        <f>ORIGINAL</f>
        <v>оріг.</v>
      </c>
      <c r="I6" s="99" t="str">
        <f>EXCH_RATE_TO_USD</f>
        <v>курс до USD</v>
      </c>
      <c r="J6" s="99" t="str">
        <f>EXCH_RATE_TO_UAH</f>
        <v>курс до UAH</v>
      </c>
      <c r="K6" s="72" t="str">
        <f>USD</f>
        <v>дол. США</v>
      </c>
      <c r="L6" s="72" t="str">
        <f>UAH</f>
        <v>грн.</v>
      </c>
      <c r="M6" s="73" t="s">
        <v>0</v>
      </c>
      <c r="N6" s="72" t="str">
        <f>CHANGE_OF_STRUCTURE</f>
        <v>Зміна структури</v>
      </c>
    </row>
    <row r="7" spans="1:19" s="19" customFormat="1" ht="14.4" x14ac:dyDescent="0.25">
      <c r="A7" s="165" t="str">
        <f>DEBT_TOTAL</f>
        <v>Загальна сума державного та гарантованого державою боргу</v>
      </c>
      <c r="B7" s="47"/>
      <c r="C7" s="101"/>
      <c r="D7" s="101"/>
      <c r="E7" s="47">
        <f>SUM(E8:E24)</f>
        <v>213.33206790508999</v>
      </c>
      <c r="F7" s="47">
        <f>SUM(F8:F24)</f>
        <v>9042.6770279453885</v>
      </c>
      <c r="G7" s="102">
        <f>SUM(G8:G24)</f>
        <v>0.99999999999999989</v>
      </c>
      <c r="H7" s="47"/>
      <c r="I7" s="101"/>
      <c r="J7" s="101"/>
      <c r="K7" s="47">
        <f>SUM(K8:K24)</f>
        <v>215.55073598985001</v>
      </c>
      <c r="L7" s="47">
        <f>SUM(L8:L24)</f>
        <v>9602.8930637009707</v>
      </c>
      <c r="M7" s="102">
        <f>SUM(M8:M24)</f>
        <v>1.0000009999999999</v>
      </c>
      <c r="N7" s="47">
        <f>SUM(N8:N24)</f>
        <v>-4.6078592330633938E-19</v>
      </c>
    </row>
    <row r="8" spans="1:19" s="42" customFormat="1" outlineLevel="1" x14ac:dyDescent="0.25">
      <c r="A8" s="174" t="s">
        <v>151</v>
      </c>
      <c r="B8" s="180">
        <v>0.62629079700000001</v>
      </c>
      <c r="C8" s="282">
        <v>1.3496999999999999</v>
      </c>
      <c r="D8" s="282">
        <v>57.210799999999999</v>
      </c>
      <c r="E8" s="180">
        <v>0.84530448688000004</v>
      </c>
      <c r="F8" s="180">
        <v>35.830597529009999</v>
      </c>
      <c r="G8" s="244">
        <v>3.9620000000000002E-3</v>
      </c>
      <c r="H8" s="180">
        <v>0.77304582499999996</v>
      </c>
      <c r="I8" s="282">
        <v>1.35853</v>
      </c>
      <c r="J8" s="282">
        <v>60.523200000000003</v>
      </c>
      <c r="K8" s="180">
        <v>1.05020610488</v>
      </c>
      <c r="L8" s="180">
        <v>46.787207075650002</v>
      </c>
      <c r="M8" s="244">
        <v>4.8719999999999996E-3</v>
      </c>
      <c r="N8" s="180">
        <v>9.1E-4</v>
      </c>
    </row>
    <row r="9" spans="1:19" outlineLevel="1" x14ac:dyDescent="0.3">
      <c r="A9" s="245" t="s">
        <v>152</v>
      </c>
      <c r="B9" s="190">
        <v>48.310865544979997</v>
      </c>
      <c r="C9" s="283">
        <v>1</v>
      </c>
      <c r="D9" s="283">
        <v>42.387799999999999</v>
      </c>
      <c r="E9" s="190">
        <v>48.310865544979997</v>
      </c>
      <c r="F9" s="190">
        <v>2047.79130654752</v>
      </c>
      <c r="G9" s="212">
        <v>0.22645899999999999</v>
      </c>
      <c r="H9" s="190">
        <v>49.451781718100001</v>
      </c>
      <c r="I9" s="283">
        <v>1</v>
      </c>
      <c r="J9" s="283">
        <v>44.5505</v>
      </c>
      <c r="K9" s="190">
        <v>49.451781718100001</v>
      </c>
      <c r="L9" s="190">
        <v>2203.1016014322399</v>
      </c>
      <c r="M9" s="212">
        <v>0.22942100000000001</v>
      </c>
      <c r="N9" s="190">
        <v>2.9619999999999998E-3</v>
      </c>
      <c r="O9" s="30"/>
      <c r="P9" s="30"/>
      <c r="Q9" s="30"/>
    </row>
    <row r="10" spans="1:19" outlineLevel="1" x14ac:dyDescent="0.3">
      <c r="A10" s="245" t="s">
        <v>153</v>
      </c>
      <c r="B10" s="190">
        <v>81.185023340469996</v>
      </c>
      <c r="C10" s="283">
        <v>1.176199</v>
      </c>
      <c r="D10" s="283">
        <v>49.856499999999997</v>
      </c>
      <c r="E10" s="190">
        <v>95.489766304849994</v>
      </c>
      <c r="F10" s="190">
        <v>4047.6011161741199</v>
      </c>
      <c r="G10" s="212">
        <v>0.44761099999999998</v>
      </c>
      <c r="H10" s="190">
        <v>83.244414642859994</v>
      </c>
      <c r="I10" s="283">
        <v>1.1645300000000001</v>
      </c>
      <c r="J10" s="283">
        <v>51.880400000000002</v>
      </c>
      <c r="K10" s="190">
        <v>96.940629834459997</v>
      </c>
      <c r="L10" s="190">
        <v>4318.7535294374502</v>
      </c>
      <c r="M10" s="212">
        <v>0.449735</v>
      </c>
      <c r="N10" s="190">
        <v>2.124E-3</v>
      </c>
      <c r="O10" s="30"/>
      <c r="P10" s="30"/>
      <c r="Q10" s="30"/>
    </row>
    <row r="11" spans="1:19" outlineLevel="1" x14ac:dyDescent="0.3">
      <c r="A11" s="245" t="s">
        <v>154</v>
      </c>
      <c r="B11" s="190">
        <v>6.75</v>
      </c>
      <c r="C11" s="283">
        <v>0.72965999999999998</v>
      </c>
      <c r="D11" s="283">
        <v>30.928699999999999</v>
      </c>
      <c r="E11" s="190">
        <v>4.9252078428199999</v>
      </c>
      <c r="F11" s="190">
        <v>208.76872499999999</v>
      </c>
      <c r="G11" s="212">
        <v>2.3087E-2</v>
      </c>
      <c r="H11" s="190">
        <v>6.75</v>
      </c>
      <c r="I11" s="283">
        <v>0.72201700000000002</v>
      </c>
      <c r="J11" s="283">
        <v>32.166200000000003</v>
      </c>
      <c r="K11" s="190">
        <v>4.8736119684399997</v>
      </c>
      <c r="L11" s="190">
        <v>217.12184999999999</v>
      </c>
      <c r="M11" s="212">
        <v>2.2610000000000002E-2</v>
      </c>
      <c r="N11" s="190">
        <v>-4.7699999999999999E-4</v>
      </c>
      <c r="O11" s="30"/>
      <c r="P11" s="30"/>
      <c r="Q11" s="30"/>
    </row>
    <row r="12" spans="1:19" outlineLevel="1" x14ac:dyDescent="0.3">
      <c r="A12" s="245" t="s">
        <v>155</v>
      </c>
      <c r="B12" s="190">
        <v>13.442224899999999</v>
      </c>
      <c r="C12" s="283">
        <v>1.3695029999999999</v>
      </c>
      <c r="D12" s="283">
        <v>58.050210999999997</v>
      </c>
      <c r="E12" s="190">
        <v>18.40916470666</v>
      </c>
      <c r="F12" s="190">
        <v>780.32399175445005</v>
      </c>
      <c r="G12" s="212">
        <v>8.6292999999999995E-2</v>
      </c>
      <c r="H12" s="190">
        <v>14.114690734</v>
      </c>
      <c r="I12" s="283">
        <v>1.3688769999999999</v>
      </c>
      <c r="J12" s="283">
        <v>60.984139999999996</v>
      </c>
      <c r="K12" s="190">
        <v>19.32127082253</v>
      </c>
      <c r="L12" s="190">
        <v>860.77227577894996</v>
      </c>
      <c r="M12" s="212">
        <v>8.9636999999999994E-2</v>
      </c>
      <c r="N12" s="190">
        <v>3.3430000000000001E-3</v>
      </c>
      <c r="O12" s="30"/>
      <c r="P12" s="30"/>
      <c r="Q12" s="30"/>
    </row>
    <row r="13" spans="1:19" outlineLevel="1" x14ac:dyDescent="0.3">
      <c r="A13" s="245" t="s">
        <v>156</v>
      </c>
      <c r="B13" s="190">
        <v>1886.1115521808499</v>
      </c>
      <c r="C13" s="283">
        <v>2.3591999999999998E-2</v>
      </c>
      <c r="D13" s="283">
        <v>1</v>
      </c>
      <c r="E13" s="190">
        <v>44.49656628044</v>
      </c>
      <c r="F13" s="190">
        <v>1886.1115521808499</v>
      </c>
      <c r="G13" s="212">
        <v>0.20857899999999999</v>
      </c>
      <c r="H13" s="190">
        <v>1918.70723532899</v>
      </c>
      <c r="I13" s="283">
        <v>2.2446000000000001E-2</v>
      </c>
      <c r="J13" s="283">
        <v>1</v>
      </c>
      <c r="K13" s="190">
        <v>43.06814144266</v>
      </c>
      <c r="L13" s="190">
        <v>1918.70723532899</v>
      </c>
      <c r="M13" s="212">
        <v>0.19980500000000001</v>
      </c>
      <c r="N13" s="190">
        <v>-8.7740000000000005E-3</v>
      </c>
      <c r="O13" s="30"/>
      <c r="P13" s="30"/>
      <c r="Q13" s="30"/>
    </row>
    <row r="14" spans="1:19" outlineLevel="1" x14ac:dyDescent="0.3">
      <c r="A14" s="245" t="s">
        <v>157</v>
      </c>
      <c r="B14" s="190">
        <v>133.369163942</v>
      </c>
      <c r="C14" s="283">
        <v>6.4120000000000002E-3</v>
      </c>
      <c r="D14" s="283">
        <v>0.27179999999999999</v>
      </c>
      <c r="E14" s="190">
        <v>0.85519273845999999</v>
      </c>
      <c r="F14" s="190">
        <v>36.24973875944</v>
      </c>
      <c r="G14" s="212">
        <v>4.0090000000000004E-3</v>
      </c>
      <c r="H14" s="190">
        <v>134.93428660199999</v>
      </c>
      <c r="I14" s="283">
        <v>6.2630000000000003E-3</v>
      </c>
      <c r="J14" s="283">
        <v>0.27901999999999999</v>
      </c>
      <c r="K14" s="190">
        <v>0.84509409877999997</v>
      </c>
      <c r="L14" s="190">
        <v>37.64936464769</v>
      </c>
      <c r="M14" s="212">
        <v>3.921E-3</v>
      </c>
      <c r="N14" s="190">
        <v>-8.7999999999999998E-5</v>
      </c>
      <c r="O14" s="30"/>
      <c r="P14" s="30"/>
      <c r="Q14" s="30"/>
    </row>
    <row r="15" spans="1:19" x14ac:dyDescent="0.3">
      <c r="B15" s="29"/>
      <c r="C15" s="97"/>
      <c r="D15" s="97"/>
      <c r="E15" s="29"/>
      <c r="F15" s="29"/>
      <c r="G15" s="67"/>
      <c r="H15" s="29"/>
      <c r="I15" s="97"/>
      <c r="J15" s="97"/>
      <c r="K15" s="29"/>
      <c r="L15" s="29"/>
      <c r="M15" s="67"/>
      <c r="N15" s="29"/>
      <c r="O15" s="30"/>
      <c r="P15" s="30"/>
      <c r="Q15" s="30"/>
    </row>
    <row r="16" spans="1:19" x14ac:dyDescent="0.3">
      <c r="B16" s="29"/>
      <c r="C16" s="97"/>
      <c r="D16" s="97"/>
      <c r="E16" s="29"/>
      <c r="F16" s="29"/>
      <c r="G16" s="67"/>
      <c r="H16" s="29"/>
      <c r="I16" s="97"/>
      <c r="J16" s="97"/>
      <c r="K16" s="29"/>
      <c r="L16" s="29"/>
      <c r="M16" s="67"/>
      <c r="N16" s="29"/>
      <c r="O16" s="30"/>
      <c r="P16" s="30"/>
      <c r="Q16" s="30"/>
    </row>
    <row r="17" spans="1:19" x14ac:dyDescent="0.3">
      <c r="B17" s="29"/>
      <c r="C17" s="97"/>
      <c r="D17" s="97"/>
      <c r="E17" s="29"/>
      <c r="F17" s="29"/>
      <c r="G17" s="67"/>
      <c r="H17" s="29"/>
      <c r="I17" s="97"/>
      <c r="J17" s="97"/>
      <c r="K17" s="29"/>
      <c r="L17" s="29"/>
      <c r="M17" s="67"/>
      <c r="N17" s="29"/>
      <c r="O17" s="30"/>
      <c r="P17" s="30"/>
      <c r="Q17" s="30"/>
    </row>
    <row r="18" spans="1:19" x14ac:dyDescent="0.3">
      <c r="B18" s="29"/>
      <c r="C18" s="97"/>
      <c r="D18" s="97"/>
      <c r="E18" s="29"/>
      <c r="F18" s="29"/>
      <c r="G18" s="67"/>
      <c r="H18" s="29"/>
      <c r="I18" s="97"/>
      <c r="J18" s="97"/>
      <c r="K18" s="29"/>
      <c r="L18" s="29"/>
      <c r="M18" s="67"/>
      <c r="N18" s="29"/>
      <c r="O18" s="30"/>
      <c r="P18" s="30"/>
      <c r="Q18" s="30"/>
    </row>
    <row r="19" spans="1:19" x14ac:dyDescent="0.3">
      <c r="B19" s="29"/>
      <c r="C19" s="97"/>
      <c r="D19" s="97"/>
      <c r="E19" s="29"/>
      <c r="F19" s="29"/>
      <c r="G19" s="67"/>
      <c r="H19" s="29"/>
      <c r="I19" s="97"/>
      <c r="J19" s="97"/>
      <c r="K19" s="29"/>
      <c r="L19" s="29"/>
      <c r="M19" s="67"/>
      <c r="N19" s="29"/>
      <c r="O19" s="30"/>
      <c r="P19" s="30"/>
      <c r="Q19" s="30"/>
    </row>
    <row r="20" spans="1:19" x14ac:dyDescent="0.3">
      <c r="B20" s="29"/>
      <c r="C20" s="97"/>
      <c r="D20" s="97"/>
      <c r="E20" s="29"/>
      <c r="F20" s="29"/>
      <c r="G20" s="67"/>
      <c r="H20" s="29"/>
      <c r="I20" s="97"/>
      <c r="J20" s="97"/>
      <c r="K20" s="29"/>
      <c r="L20" s="29"/>
      <c r="M20" s="67"/>
      <c r="N20" s="29"/>
      <c r="O20" s="30"/>
      <c r="P20" s="30"/>
      <c r="Q20" s="30"/>
    </row>
    <row r="21" spans="1:19" x14ac:dyDescent="0.3">
      <c r="B21" s="29"/>
      <c r="C21" s="97"/>
      <c r="D21" s="97"/>
      <c r="E21" s="29"/>
      <c r="F21" s="29"/>
      <c r="G21" s="67"/>
      <c r="H21" s="29"/>
      <c r="I21" s="97"/>
      <c r="J21" s="97"/>
      <c r="K21" s="29"/>
      <c r="L21" s="29"/>
      <c r="M21" s="67"/>
      <c r="N21" s="29"/>
      <c r="O21" s="30"/>
      <c r="P21" s="30"/>
      <c r="Q21" s="30"/>
    </row>
    <row r="22" spans="1:19" x14ac:dyDescent="0.3">
      <c r="B22" s="29"/>
      <c r="C22" s="97"/>
      <c r="D22" s="97"/>
      <c r="E22" s="29"/>
      <c r="F22" s="29"/>
      <c r="G22" s="67"/>
      <c r="H22" s="29"/>
      <c r="I22" s="97"/>
      <c r="J22" s="97"/>
      <c r="K22" s="29"/>
      <c r="L22" s="29"/>
      <c r="M22" s="67"/>
      <c r="N22" s="29"/>
      <c r="O22" s="30"/>
      <c r="P22" s="30"/>
      <c r="Q22" s="30"/>
    </row>
    <row r="23" spans="1:19" x14ac:dyDescent="0.3">
      <c r="B23" s="29"/>
      <c r="C23" s="97"/>
      <c r="D23" s="97"/>
      <c r="E23" s="29"/>
      <c r="F23" s="29"/>
      <c r="G23" s="67"/>
      <c r="H23" s="29"/>
      <c r="I23" s="97"/>
      <c r="J23" s="97"/>
      <c r="K23" s="29"/>
      <c r="L23" s="29"/>
      <c r="M23" s="67"/>
      <c r="N23" s="31" t="str">
        <f>VALVAL</f>
        <v>млрд. одиниць</v>
      </c>
      <c r="O23" s="30"/>
      <c r="P23" s="30"/>
      <c r="Q23" s="30"/>
    </row>
    <row r="24" spans="1:19" x14ac:dyDescent="0.3">
      <c r="A24" s="82"/>
      <c r="B24" s="288">
        <v>46022</v>
      </c>
      <c r="C24" s="289"/>
      <c r="D24" s="289"/>
      <c r="E24" s="289"/>
      <c r="F24" s="289"/>
      <c r="G24" s="290"/>
      <c r="H24" s="288">
        <v>46265</v>
      </c>
      <c r="I24" s="289"/>
      <c r="J24" s="289"/>
      <c r="K24" s="289"/>
      <c r="L24" s="289"/>
      <c r="M24" s="290"/>
      <c r="N24" s="83"/>
      <c r="O24" s="57"/>
      <c r="P24" s="57"/>
      <c r="Q24" s="57"/>
      <c r="R24" s="57"/>
      <c r="S24" s="57"/>
    </row>
    <row r="25" spans="1:19" s="87" customFormat="1" x14ac:dyDescent="0.3">
      <c r="A25" s="85"/>
      <c r="B25" s="72" t="str">
        <f>ORIGINAL</f>
        <v>оріг.</v>
      </c>
      <c r="C25" s="99" t="str">
        <f>EXCH_RATE_TO_USD</f>
        <v>курс до USD</v>
      </c>
      <c r="D25" s="99" t="str">
        <f>EXCH_RATE_TO_UAH</f>
        <v>курс до UAH</v>
      </c>
      <c r="E25" s="72" t="str">
        <f>USD</f>
        <v>дол. США</v>
      </c>
      <c r="F25" s="72" t="str">
        <f>UAH</f>
        <v>грн.</v>
      </c>
      <c r="G25" s="73" t="s">
        <v>0</v>
      </c>
      <c r="H25" s="72" t="str">
        <f>ORIGINAL</f>
        <v>оріг.</v>
      </c>
      <c r="I25" s="99" t="str">
        <f>EXCH_RATE_TO_USD</f>
        <v>курс до USD</v>
      </c>
      <c r="J25" s="99" t="str">
        <f>EXCH_RATE_TO_UAH</f>
        <v>курс до UAH</v>
      </c>
      <c r="K25" s="72" t="str">
        <f>USD</f>
        <v>дол. США</v>
      </c>
      <c r="L25" s="72" t="str">
        <f>UAH</f>
        <v>грн.</v>
      </c>
      <c r="M25" s="73" t="s">
        <v>0</v>
      </c>
      <c r="N25" s="72" t="str">
        <f>CHANGE_OF_STRUCTURE</f>
        <v>Зміна структури</v>
      </c>
      <c r="O25" s="86"/>
      <c r="P25" s="86"/>
      <c r="Q25" s="86"/>
    </row>
    <row r="26" spans="1:19" s="40" customFormat="1" ht="14.4" x14ac:dyDescent="0.3">
      <c r="A26" s="167" t="str">
        <f>DEBT_TOTAL</f>
        <v>Загальна сума державного та гарантованого державою боргу</v>
      </c>
      <c r="B26" s="95">
        <f t="shared" ref="B26:N26" si="0">B$27+B$35</f>
        <v>2169.7951207053002</v>
      </c>
      <c r="C26" s="103">
        <f t="shared" si="0"/>
        <v>9.224359999999999</v>
      </c>
      <c r="D26" s="103">
        <f t="shared" si="0"/>
        <v>391.00032199999998</v>
      </c>
      <c r="E26" s="95">
        <f t="shared" si="0"/>
        <v>213.33206790508999</v>
      </c>
      <c r="F26" s="95">
        <f t="shared" si="0"/>
        <v>9042.6770279453904</v>
      </c>
      <c r="G26" s="104">
        <f t="shared" si="0"/>
        <v>0.99999999999999989</v>
      </c>
      <c r="H26" s="95">
        <f t="shared" si="0"/>
        <v>2207.97545485095</v>
      </c>
      <c r="I26" s="103">
        <f t="shared" si="0"/>
        <v>9.1985159999999997</v>
      </c>
      <c r="J26" s="103">
        <f t="shared" si="0"/>
        <v>409.79849999999999</v>
      </c>
      <c r="K26" s="95">
        <f t="shared" si="0"/>
        <v>215.55073598984998</v>
      </c>
      <c r="L26" s="95">
        <f t="shared" si="0"/>
        <v>9602.8930637009707</v>
      </c>
      <c r="M26" s="104">
        <f t="shared" si="0"/>
        <v>1</v>
      </c>
      <c r="N26" s="95">
        <f t="shared" si="0"/>
        <v>1.0000000000005664E-6</v>
      </c>
      <c r="O26" s="39"/>
      <c r="P26" s="39"/>
      <c r="Q26" s="39"/>
    </row>
    <row r="27" spans="1:19" s="66" customFormat="1" ht="14.4" outlineLevel="1" x14ac:dyDescent="0.3">
      <c r="A27" s="263" t="s">
        <v>1</v>
      </c>
      <c r="B27" s="278">
        <f t="shared" ref="B27:N27" si="1">SUM(B$28:B$34)</f>
        <v>2105.06302433887</v>
      </c>
      <c r="C27" s="284">
        <f t="shared" si="1"/>
        <v>5.6550659999999997</v>
      </c>
      <c r="D27" s="284">
        <f t="shared" si="1"/>
        <v>239.70581100000001</v>
      </c>
      <c r="E27" s="278">
        <f t="shared" si="1"/>
        <v>206.80464722402999</v>
      </c>
      <c r="F27" s="278">
        <f t="shared" si="1"/>
        <v>8765.9940256002701</v>
      </c>
      <c r="G27" s="285">
        <f t="shared" si="1"/>
        <v>0.9694029999999999</v>
      </c>
      <c r="H27" s="278">
        <f t="shared" si="1"/>
        <v>2142.5743987249398</v>
      </c>
      <c r="I27" s="284">
        <f t="shared" si="1"/>
        <v>5.6426629999999998</v>
      </c>
      <c r="J27" s="284">
        <f t="shared" si="1"/>
        <v>251.38346000000001</v>
      </c>
      <c r="K27" s="278">
        <f t="shared" si="1"/>
        <v>209.76376640346999</v>
      </c>
      <c r="L27" s="278">
        <f t="shared" si="1"/>
        <v>9345.0806751427208</v>
      </c>
      <c r="M27" s="285">
        <f t="shared" si="1"/>
        <v>0.97315300000000005</v>
      </c>
      <c r="N27" s="278">
        <f t="shared" si="1"/>
        <v>3.7510000000000004E-3</v>
      </c>
      <c r="O27" s="65"/>
      <c r="P27" s="65"/>
      <c r="Q27" s="65"/>
    </row>
    <row r="28" spans="1:19" s="44" customFormat="1" outlineLevel="2" x14ac:dyDescent="0.3">
      <c r="A28" s="252" t="s">
        <v>151</v>
      </c>
      <c r="B28" s="175">
        <v>0.62629079700000001</v>
      </c>
      <c r="C28" s="286">
        <v>1.3496999999999999</v>
      </c>
      <c r="D28" s="286">
        <v>57.210799999999999</v>
      </c>
      <c r="E28" s="175">
        <v>0.84530448688000004</v>
      </c>
      <c r="F28" s="175">
        <v>35.830597529009999</v>
      </c>
      <c r="G28" s="178">
        <v>3.9620000000000002E-3</v>
      </c>
      <c r="H28" s="175">
        <v>0.77304582499999996</v>
      </c>
      <c r="I28" s="286">
        <v>1.35853</v>
      </c>
      <c r="J28" s="286">
        <v>60.523200000000003</v>
      </c>
      <c r="K28" s="175">
        <v>1.05020610488</v>
      </c>
      <c r="L28" s="175">
        <v>46.787207075650002</v>
      </c>
      <c r="M28" s="178">
        <v>4.8719999999999996E-3</v>
      </c>
      <c r="N28" s="175">
        <v>9.1E-4</v>
      </c>
      <c r="O28" s="43"/>
      <c r="P28" s="43"/>
      <c r="Q28" s="43"/>
    </row>
    <row r="29" spans="1:19" outlineLevel="2" x14ac:dyDescent="0.3">
      <c r="A29" s="262" t="s">
        <v>152</v>
      </c>
      <c r="B29" s="190">
        <v>45.906000765889999</v>
      </c>
      <c r="C29" s="283">
        <v>1</v>
      </c>
      <c r="D29" s="283">
        <v>42.387799999999999</v>
      </c>
      <c r="E29" s="190">
        <v>45.906000765889999</v>
      </c>
      <c r="F29" s="190">
        <v>1945.85437926442</v>
      </c>
      <c r="G29" s="212">
        <v>0.21518599999999999</v>
      </c>
      <c r="H29" s="190">
        <v>47.13635331959</v>
      </c>
      <c r="I29" s="283">
        <v>1</v>
      </c>
      <c r="J29" s="283">
        <v>44.5505</v>
      </c>
      <c r="K29" s="190">
        <v>47.13635331959</v>
      </c>
      <c r="L29" s="190">
        <v>2099.9481085644202</v>
      </c>
      <c r="M29" s="212">
        <v>0.21867900000000001</v>
      </c>
      <c r="N29" s="190">
        <v>3.493E-3</v>
      </c>
      <c r="O29" s="30"/>
      <c r="P29" s="30"/>
      <c r="Q29" s="30"/>
    </row>
    <row r="30" spans="1:19" outlineLevel="2" x14ac:dyDescent="0.3">
      <c r="A30" s="262" t="s">
        <v>153</v>
      </c>
      <c r="B30" s="190">
        <v>79.332782288679994</v>
      </c>
      <c r="C30" s="283">
        <v>1.176199</v>
      </c>
      <c r="D30" s="283">
        <v>49.856499999999997</v>
      </c>
      <c r="E30" s="190">
        <v>93.3111617064</v>
      </c>
      <c r="F30" s="190">
        <v>3955.2548601755502</v>
      </c>
      <c r="G30" s="212">
        <v>0.43739899999999998</v>
      </c>
      <c r="H30" s="190">
        <v>81.755240194289996</v>
      </c>
      <c r="I30" s="283">
        <v>1.1645300000000001</v>
      </c>
      <c r="J30" s="283">
        <v>51.880400000000002</v>
      </c>
      <c r="K30" s="190">
        <v>95.206441305469994</v>
      </c>
      <c r="L30" s="190">
        <v>4241.4945633758498</v>
      </c>
      <c r="M30" s="212">
        <v>0.441689</v>
      </c>
      <c r="N30" s="190">
        <v>4.2909999999999997E-3</v>
      </c>
      <c r="O30" s="30"/>
      <c r="P30" s="30"/>
      <c r="Q30" s="30"/>
    </row>
    <row r="31" spans="1:19" outlineLevel="2" x14ac:dyDescent="0.3">
      <c r="A31" s="262" t="s">
        <v>154</v>
      </c>
      <c r="B31" s="190">
        <v>6.75</v>
      </c>
      <c r="C31" s="283">
        <v>0.72965999999999998</v>
      </c>
      <c r="D31" s="283">
        <v>30.928699999999999</v>
      </c>
      <c r="E31" s="190">
        <v>4.9252078428199999</v>
      </c>
      <c r="F31" s="190">
        <v>208.76872499999999</v>
      </c>
      <c r="G31" s="212">
        <v>2.3087E-2</v>
      </c>
      <c r="H31" s="190">
        <v>6.75</v>
      </c>
      <c r="I31" s="283">
        <v>0.72201700000000002</v>
      </c>
      <c r="J31" s="283">
        <v>32.166200000000003</v>
      </c>
      <c r="K31" s="190">
        <v>4.8736119684399997</v>
      </c>
      <c r="L31" s="190">
        <v>217.12184999999999</v>
      </c>
      <c r="M31" s="212">
        <v>2.2610000000000002E-2</v>
      </c>
      <c r="N31" s="190">
        <v>-4.7699999999999999E-4</v>
      </c>
      <c r="O31" s="30"/>
      <c r="P31" s="30"/>
      <c r="Q31" s="30"/>
    </row>
    <row r="32" spans="1:19" outlineLevel="2" x14ac:dyDescent="0.3">
      <c r="A32" s="262" t="s">
        <v>155</v>
      </c>
      <c r="B32" s="190">
        <v>13.05791732</v>
      </c>
      <c r="C32" s="283">
        <v>1.3695029999999999</v>
      </c>
      <c r="D32" s="283">
        <v>58.050210999999997</v>
      </c>
      <c r="E32" s="190">
        <v>17.88285439785</v>
      </c>
      <c r="F32" s="190">
        <v>758.01485564655002</v>
      </c>
      <c r="G32" s="212">
        <v>8.3825999999999998E-2</v>
      </c>
      <c r="H32" s="190">
        <v>13.85122982</v>
      </c>
      <c r="I32" s="283">
        <v>1.3688769999999999</v>
      </c>
      <c r="J32" s="283">
        <v>60.984139999999996</v>
      </c>
      <c r="K32" s="190">
        <v>18.96062532441</v>
      </c>
      <c r="L32" s="190">
        <v>844.70533851505002</v>
      </c>
      <c r="M32" s="212">
        <v>8.7964000000000001E-2</v>
      </c>
      <c r="N32" s="190">
        <v>4.1370000000000001E-3</v>
      </c>
      <c r="O32" s="30"/>
      <c r="P32" s="30"/>
      <c r="Q32" s="30"/>
    </row>
    <row r="33" spans="1:17" outlineLevel="2" x14ac:dyDescent="0.3">
      <c r="A33" s="262" t="s">
        <v>156</v>
      </c>
      <c r="B33" s="190">
        <v>1826.0208692253</v>
      </c>
      <c r="C33" s="283">
        <v>2.3591999999999998E-2</v>
      </c>
      <c r="D33" s="283">
        <v>1</v>
      </c>
      <c r="E33" s="190">
        <v>43.078925285730001</v>
      </c>
      <c r="F33" s="190">
        <v>1826.0208692253</v>
      </c>
      <c r="G33" s="212">
        <v>0.201934</v>
      </c>
      <c r="H33" s="190">
        <v>1857.3742429640599</v>
      </c>
      <c r="I33" s="283">
        <v>2.2446000000000001E-2</v>
      </c>
      <c r="J33" s="283">
        <v>1</v>
      </c>
      <c r="K33" s="190">
        <v>41.691434281900001</v>
      </c>
      <c r="L33" s="190">
        <v>1857.3742429640599</v>
      </c>
      <c r="M33" s="212">
        <v>0.19341800000000001</v>
      </c>
      <c r="N33" s="190">
        <v>-8.515E-3</v>
      </c>
      <c r="O33" s="30"/>
      <c r="P33" s="30"/>
      <c r="Q33" s="30"/>
    </row>
    <row r="34" spans="1:17" outlineLevel="2" x14ac:dyDescent="0.3">
      <c r="A34" s="262" t="s">
        <v>157</v>
      </c>
      <c r="B34" s="190">
        <v>133.369163942</v>
      </c>
      <c r="C34" s="283">
        <v>6.4120000000000002E-3</v>
      </c>
      <c r="D34" s="283">
        <v>0.27179999999999999</v>
      </c>
      <c r="E34" s="190">
        <v>0.85519273845999999</v>
      </c>
      <c r="F34" s="190">
        <v>36.24973875944</v>
      </c>
      <c r="G34" s="212">
        <v>4.0090000000000004E-3</v>
      </c>
      <c r="H34" s="190">
        <v>134.93428660199999</v>
      </c>
      <c r="I34" s="283">
        <v>6.2630000000000003E-3</v>
      </c>
      <c r="J34" s="283">
        <v>0.27901999999999999</v>
      </c>
      <c r="K34" s="190">
        <v>0.84509409877999997</v>
      </c>
      <c r="L34" s="190">
        <v>37.64936464769</v>
      </c>
      <c r="M34" s="212">
        <v>3.921E-3</v>
      </c>
      <c r="N34" s="190">
        <v>-8.7999999999999998E-5</v>
      </c>
      <c r="O34" s="30"/>
      <c r="P34" s="30"/>
      <c r="Q34" s="30"/>
    </row>
    <row r="35" spans="1:17" ht="14.4" outlineLevel="1" x14ac:dyDescent="0.3">
      <c r="A35" s="274" t="s">
        <v>2</v>
      </c>
      <c r="B35" s="275">
        <f t="shared" ref="B35:N35" si="2">SUM(B$36:B$39)</f>
        <v>64.73209636643</v>
      </c>
      <c r="C35" s="287">
        <f t="shared" si="2"/>
        <v>3.5692939999999997</v>
      </c>
      <c r="D35" s="287">
        <f t="shared" si="2"/>
        <v>151.294511</v>
      </c>
      <c r="E35" s="275">
        <f t="shared" si="2"/>
        <v>6.5274206810600006</v>
      </c>
      <c r="F35" s="275">
        <f t="shared" si="2"/>
        <v>276.68300234512003</v>
      </c>
      <c r="G35" s="276">
        <f t="shared" si="2"/>
        <v>3.0596999999999999E-2</v>
      </c>
      <c r="H35" s="275">
        <f t="shared" si="2"/>
        <v>65.401056126010005</v>
      </c>
      <c r="I35" s="287">
        <f t="shared" si="2"/>
        <v>3.5558529999999999</v>
      </c>
      <c r="J35" s="287">
        <f t="shared" si="2"/>
        <v>158.41504</v>
      </c>
      <c r="K35" s="275">
        <f t="shared" si="2"/>
        <v>5.7869695863799997</v>
      </c>
      <c r="L35" s="275">
        <f t="shared" si="2"/>
        <v>257.81238855825001</v>
      </c>
      <c r="M35" s="276">
        <f t="shared" si="2"/>
        <v>2.6846999999999999E-2</v>
      </c>
      <c r="N35" s="275">
        <f t="shared" si="2"/>
        <v>-3.7499999999999999E-3</v>
      </c>
      <c r="O35" s="30"/>
      <c r="P35" s="30"/>
      <c r="Q35" s="30"/>
    </row>
    <row r="36" spans="1:17" outlineLevel="2" x14ac:dyDescent="0.3">
      <c r="A36" s="262" t="s">
        <v>152</v>
      </c>
      <c r="B36" s="190">
        <v>2.40486477909</v>
      </c>
      <c r="C36" s="283">
        <v>1</v>
      </c>
      <c r="D36" s="283">
        <v>42.387799999999999</v>
      </c>
      <c r="E36" s="190">
        <v>2.40486477909</v>
      </c>
      <c r="F36" s="190">
        <v>101.9369272831</v>
      </c>
      <c r="G36" s="212">
        <v>1.1273E-2</v>
      </c>
      <c r="H36" s="190">
        <v>2.3154283985099999</v>
      </c>
      <c r="I36" s="283">
        <v>1</v>
      </c>
      <c r="J36" s="283">
        <v>44.5505</v>
      </c>
      <c r="K36" s="190">
        <v>2.3154283985099999</v>
      </c>
      <c r="L36" s="190">
        <v>103.15349286782001</v>
      </c>
      <c r="M36" s="212">
        <v>1.0742E-2</v>
      </c>
      <c r="N36" s="190">
        <v>-5.31E-4</v>
      </c>
      <c r="O36" s="30"/>
      <c r="P36" s="30"/>
      <c r="Q36" s="30"/>
    </row>
    <row r="37" spans="1:17" outlineLevel="2" x14ac:dyDescent="0.3">
      <c r="A37" s="262" t="s">
        <v>153</v>
      </c>
      <c r="B37" s="190">
        <v>1.8522410517900001</v>
      </c>
      <c r="C37" s="283">
        <v>1.176199</v>
      </c>
      <c r="D37" s="283">
        <v>49.856499999999997</v>
      </c>
      <c r="E37" s="190">
        <v>2.1786045984500002</v>
      </c>
      <c r="F37" s="190">
        <v>92.346255998570001</v>
      </c>
      <c r="G37" s="212">
        <v>1.0212000000000001E-2</v>
      </c>
      <c r="H37" s="190">
        <v>1.48917444857</v>
      </c>
      <c r="I37" s="283">
        <v>1.1645300000000001</v>
      </c>
      <c r="J37" s="283">
        <v>51.880400000000002</v>
      </c>
      <c r="K37" s="190">
        <v>1.7341885289900001</v>
      </c>
      <c r="L37" s="190">
        <v>77.258966061600006</v>
      </c>
      <c r="M37" s="212">
        <v>8.0450000000000001E-3</v>
      </c>
      <c r="N37" s="190">
        <v>-2.1670000000000001E-3</v>
      </c>
      <c r="O37" s="30"/>
      <c r="P37" s="30"/>
      <c r="Q37" s="30"/>
    </row>
    <row r="38" spans="1:17" outlineLevel="2" x14ac:dyDescent="0.3">
      <c r="A38" s="262" t="s">
        <v>155</v>
      </c>
      <c r="B38" s="190">
        <v>0.38430757999999998</v>
      </c>
      <c r="C38" s="283">
        <v>1.3695029999999999</v>
      </c>
      <c r="D38" s="283">
        <v>58.050210999999997</v>
      </c>
      <c r="E38" s="190">
        <v>0.52631030880999996</v>
      </c>
      <c r="F38" s="190">
        <v>22.309136107899999</v>
      </c>
      <c r="G38" s="212">
        <v>2.467E-3</v>
      </c>
      <c r="H38" s="190">
        <v>0.26346091399999999</v>
      </c>
      <c r="I38" s="283">
        <v>1.3688769999999999</v>
      </c>
      <c r="J38" s="283">
        <v>60.984139999999996</v>
      </c>
      <c r="K38" s="190">
        <v>0.36064549812000002</v>
      </c>
      <c r="L38" s="190">
        <v>16.066937263900002</v>
      </c>
      <c r="M38" s="212">
        <v>1.673E-3</v>
      </c>
      <c r="N38" s="190">
        <v>-7.94E-4</v>
      </c>
      <c r="O38" s="30"/>
      <c r="P38" s="30"/>
      <c r="Q38" s="30"/>
    </row>
    <row r="39" spans="1:17" outlineLevel="2" x14ac:dyDescent="0.3">
      <c r="A39" s="262" t="s">
        <v>156</v>
      </c>
      <c r="B39" s="190">
        <v>60.090682955550001</v>
      </c>
      <c r="C39" s="283">
        <v>2.3591999999999998E-2</v>
      </c>
      <c r="D39" s="283">
        <v>1</v>
      </c>
      <c r="E39" s="190">
        <v>1.4176409947099999</v>
      </c>
      <c r="F39" s="190">
        <v>60.090682955550001</v>
      </c>
      <c r="G39" s="212">
        <v>6.6449999999999999E-3</v>
      </c>
      <c r="H39" s="190">
        <v>61.33299236493</v>
      </c>
      <c r="I39" s="283">
        <v>2.2446000000000001E-2</v>
      </c>
      <c r="J39" s="283">
        <v>1</v>
      </c>
      <c r="K39" s="190">
        <v>1.3767071607600001</v>
      </c>
      <c r="L39" s="190">
        <v>61.33299236493</v>
      </c>
      <c r="M39" s="212">
        <v>6.3870000000000003E-3</v>
      </c>
      <c r="N39" s="190">
        <v>-2.5799999999999998E-4</v>
      </c>
      <c r="O39" s="30"/>
      <c r="P39" s="30"/>
      <c r="Q39" s="30"/>
    </row>
    <row r="40" spans="1:17" x14ac:dyDescent="0.3">
      <c r="B40" s="29"/>
      <c r="C40" s="97"/>
      <c r="D40" s="97"/>
      <c r="E40" s="29"/>
      <c r="F40" s="29"/>
      <c r="G40" s="67"/>
      <c r="H40" s="29"/>
      <c r="I40" s="97"/>
      <c r="J40" s="97"/>
      <c r="K40" s="29"/>
      <c r="L40" s="29"/>
      <c r="M40" s="67"/>
      <c r="N40" s="29"/>
      <c r="O40" s="30"/>
      <c r="P40" s="30"/>
      <c r="Q40" s="30"/>
    </row>
    <row r="41" spans="1:17" x14ac:dyDescent="0.3">
      <c r="B41" s="29"/>
      <c r="C41" s="97"/>
      <c r="D41" s="97"/>
      <c r="E41" s="29"/>
      <c r="F41" s="29"/>
      <c r="G41" s="67"/>
      <c r="H41" s="29"/>
      <c r="I41" s="97"/>
      <c r="J41" s="97"/>
      <c r="K41" s="29"/>
      <c r="L41" s="29"/>
      <c r="M41" s="67"/>
      <c r="N41" s="29"/>
      <c r="O41" s="30"/>
      <c r="P41" s="30"/>
      <c r="Q41" s="30"/>
    </row>
    <row r="42" spans="1:17" x14ac:dyDescent="0.3">
      <c r="B42" s="29"/>
      <c r="C42" s="97"/>
      <c r="D42" s="97"/>
      <c r="E42" s="29"/>
      <c r="F42" s="29"/>
      <c r="G42" s="67"/>
      <c r="H42" s="29"/>
      <c r="I42" s="97"/>
      <c r="J42" s="97"/>
      <c r="K42" s="29"/>
      <c r="L42" s="29"/>
      <c r="M42" s="67"/>
      <c r="N42" s="29"/>
      <c r="O42" s="30"/>
      <c r="P42" s="30"/>
      <c r="Q42" s="30"/>
    </row>
    <row r="43" spans="1:17" x14ac:dyDescent="0.3">
      <c r="B43" s="29"/>
      <c r="C43" s="97"/>
      <c r="D43" s="97"/>
      <c r="E43" s="29"/>
      <c r="F43" s="29"/>
      <c r="G43" s="67"/>
      <c r="H43" s="29"/>
      <c r="I43" s="97"/>
      <c r="J43" s="97"/>
      <c r="K43" s="29"/>
      <c r="L43" s="29"/>
      <c r="M43" s="67"/>
      <c r="N43" s="29"/>
      <c r="O43" s="30"/>
      <c r="P43" s="30"/>
      <c r="Q43" s="30"/>
    </row>
    <row r="44" spans="1:17" x14ac:dyDescent="0.3">
      <c r="B44" s="29"/>
      <c r="C44" s="97"/>
      <c r="D44" s="97"/>
      <c r="E44" s="29"/>
      <c r="F44" s="29"/>
      <c r="G44" s="67"/>
      <c r="H44" s="29"/>
      <c r="I44" s="97"/>
      <c r="J44" s="97"/>
      <c r="K44" s="29"/>
      <c r="L44" s="29"/>
      <c r="M44" s="67"/>
      <c r="N44" s="29"/>
      <c r="O44" s="30"/>
      <c r="P44" s="30"/>
      <c r="Q44" s="30"/>
    </row>
    <row r="45" spans="1:17" x14ac:dyDescent="0.3">
      <c r="B45" s="29"/>
      <c r="C45" s="97"/>
      <c r="D45" s="97"/>
      <c r="E45" s="29"/>
      <c r="F45" s="29"/>
      <c r="G45" s="67"/>
      <c r="H45" s="29"/>
      <c r="I45" s="97"/>
      <c r="J45" s="97"/>
      <c r="K45" s="29"/>
      <c r="L45" s="29"/>
      <c r="M45" s="67"/>
      <c r="N45" s="29"/>
      <c r="O45" s="30"/>
      <c r="P45" s="30"/>
      <c r="Q45" s="30"/>
    </row>
    <row r="46" spans="1:17" x14ac:dyDescent="0.3">
      <c r="B46" s="29"/>
      <c r="C46" s="97"/>
      <c r="D46" s="97"/>
      <c r="E46" s="29"/>
      <c r="F46" s="29"/>
      <c r="G46" s="67"/>
      <c r="H46" s="29"/>
      <c r="I46" s="97"/>
      <c r="J46" s="97"/>
      <c r="K46" s="29"/>
      <c r="L46" s="29"/>
      <c r="M46" s="67"/>
      <c r="N46" s="29"/>
      <c r="O46" s="30"/>
      <c r="P46" s="30"/>
      <c r="Q46" s="30"/>
    </row>
    <row r="47" spans="1:17" x14ac:dyDescent="0.3">
      <c r="B47" s="29"/>
      <c r="C47" s="97"/>
      <c r="D47" s="97"/>
      <c r="E47" s="29"/>
      <c r="F47" s="29"/>
      <c r="G47" s="67"/>
      <c r="H47" s="29"/>
      <c r="I47" s="97"/>
      <c r="J47" s="97"/>
      <c r="K47" s="29"/>
      <c r="L47" s="29"/>
      <c r="M47" s="67"/>
      <c r="N47" s="29"/>
      <c r="O47" s="30"/>
      <c r="P47" s="30"/>
      <c r="Q47" s="30"/>
    </row>
    <row r="48" spans="1:17" x14ac:dyDescent="0.3">
      <c r="B48" s="29"/>
      <c r="C48" s="97"/>
      <c r="D48" s="97"/>
      <c r="E48" s="29"/>
      <c r="F48" s="29"/>
      <c r="G48" s="67"/>
      <c r="H48" s="29"/>
      <c r="I48" s="97"/>
      <c r="J48" s="97"/>
      <c r="K48" s="29"/>
      <c r="L48" s="29"/>
      <c r="M48" s="67"/>
      <c r="N48" s="29"/>
      <c r="O48" s="30"/>
      <c r="P48" s="30"/>
      <c r="Q48" s="30"/>
    </row>
    <row r="49" spans="2:17" x14ac:dyDescent="0.3">
      <c r="B49" s="29"/>
      <c r="C49" s="97"/>
      <c r="D49" s="97"/>
      <c r="E49" s="29"/>
      <c r="F49" s="29"/>
      <c r="G49" s="67"/>
      <c r="H49" s="29"/>
      <c r="I49" s="97"/>
      <c r="J49" s="97"/>
      <c r="K49" s="29"/>
      <c r="L49" s="29"/>
      <c r="M49" s="67"/>
      <c r="N49" s="29"/>
      <c r="O49" s="30"/>
      <c r="P49" s="30"/>
      <c r="Q49" s="30"/>
    </row>
    <row r="50" spans="2:17" x14ac:dyDescent="0.3">
      <c r="B50" s="29"/>
      <c r="C50" s="97"/>
      <c r="D50" s="97"/>
      <c r="E50" s="29"/>
      <c r="F50" s="29"/>
      <c r="G50" s="67"/>
      <c r="H50" s="29"/>
      <c r="I50" s="97"/>
      <c r="J50" s="97"/>
      <c r="K50" s="29"/>
      <c r="L50" s="29"/>
      <c r="M50" s="67"/>
      <c r="N50" s="29"/>
      <c r="O50" s="30"/>
      <c r="P50" s="30"/>
      <c r="Q50" s="30"/>
    </row>
    <row r="51" spans="2:17" x14ac:dyDescent="0.3">
      <c r="B51" s="29"/>
      <c r="C51" s="97"/>
      <c r="D51" s="97"/>
      <c r="E51" s="29"/>
      <c r="F51" s="29"/>
      <c r="G51" s="67"/>
      <c r="H51" s="29"/>
      <c r="I51" s="97"/>
      <c r="J51" s="97"/>
      <c r="K51" s="29"/>
      <c r="L51" s="29"/>
      <c r="M51" s="67"/>
      <c r="N51" s="29"/>
      <c r="O51" s="30"/>
      <c r="P51" s="30"/>
      <c r="Q51" s="30"/>
    </row>
    <row r="52" spans="2:17" x14ac:dyDescent="0.3">
      <c r="B52" s="29"/>
      <c r="C52" s="97"/>
      <c r="D52" s="97"/>
      <c r="E52" s="29"/>
      <c r="F52" s="29"/>
      <c r="G52" s="67"/>
      <c r="H52" s="29"/>
      <c r="I52" s="97"/>
      <c r="J52" s="97"/>
      <c r="K52" s="29"/>
      <c r="L52" s="29"/>
      <c r="M52" s="67"/>
      <c r="N52" s="29"/>
      <c r="O52" s="30"/>
      <c r="P52" s="30"/>
      <c r="Q52" s="30"/>
    </row>
    <row r="53" spans="2:17" x14ac:dyDescent="0.3">
      <c r="B53" s="29"/>
      <c r="C53" s="97"/>
      <c r="D53" s="97"/>
      <c r="E53" s="29"/>
      <c r="F53" s="29"/>
      <c r="G53" s="67"/>
      <c r="H53" s="29"/>
      <c r="I53" s="97"/>
      <c r="J53" s="97"/>
      <c r="K53" s="29"/>
      <c r="L53" s="29"/>
      <c r="M53" s="67"/>
      <c r="N53" s="29"/>
      <c r="O53" s="30"/>
      <c r="P53" s="30"/>
      <c r="Q53" s="30"/>
    </row>
    <row r="54" spans="2:17" x14ac:dyDescent="0.3">
      <c r="B54" s="29"/>
      <c r="C54" s="97"/>
      <c r="D54" s="97"/>
      <c r="E54" s="29"/>
      <c r="F54" s="29"/>
      <c r="G54" s="67"/>
      <c r="H54" s="29"/>
      <c r="I54" s="97"/>
      <c r="J54" s="97"/>
      <c r="K54" s="29"/>
      <c r="L54" s="29"/>
      <c r="M54" s="67"/>
      <c r="N54" s="29"/>
      <c r="O54" s="30"/>
      <c r="P54" s="30"/>
      <c r="Q54" s="30"/>
    </row>
    <row r="55" spans="2:17" x14ac:dyDescent="0.3">
      <c r="B55" s="29"/>
      <c r="C55" s="97"/>
      <c r="D55" s="97"/>
      <c r="E55" s="29"/>
      <c r="F55" s="29"/>
      <c r="G55" s="67"/>
      <c r="H55" s="29"/>
      <c r="I55" s="97"/>
      <c r="J55" s="97"/>
      <c r="K55" s="29"/>
      <c r="L55" s="29"/>
      <c r="M55" s="67"/>
      <c r="N55" s="29"/>
      <c r="O55" s="30"/>
      <c r="P55" s="30"/>
      <c r="Q55" s="30"/>
    </row>
    <row r="56" spans="2:17" x14ac:dyDescent="0.3">
      <c r="B56" s="29"/>
      <c r="C56" s="97"/>
      <c r="D56" s="97"/>
      <c r="E56" s="29"/>
      <c r="F56" s="29"/>
      <c r="G56" s="67"/>
      <c r="H56" s="29"/>
      <c r="I56" s="97"/>
      <c r="J56" s="97"/>
      <c r="K56" s="29"/>
      <c r="L56" s="29"/>
      <c r="M56" s="67"/>
      <c r="N56" s="29"/>
      <c r="O56" s="30"/>
      <c r="P56" s="30"/>
      <c r="Q56" s="30"/>
    </row>
    <row r="57" spans="2:17" x14ac:dyDescent="0.3">
      <c r="B57" s="29"/>
      <c r="C57" s="97"/>
      <c r="D57" s="97"/>
      <c r="E57" s="29"/>
      <c r="F57" s="29"/>
      <c r="G57" s="67"/>
      <c r="H57" s="29"/>
      <c r="I57" s="97"/>
      <c r="J57" s="97"/>
      <c r="K57" s="29"/>
      <c r="L57" s="29"/>
      <c r="M57" s="67"/>
      <c r="N57" s="29"/>
      <c r="O57" s="30"/>
      <c r="P57" s="30"/>
      <c r="Q57" s="30"/>
    </row>
    <row r="58" spans="2:17" x14ac:dyDescent="0.3">
      <c r="B58" s="29"/>
      <c r="C58" s="97"/>
      <c r="D58" s="97"/>
      <c r="E58" s="29"/>
      <c r="F58" s="29"/>
      <c r="G58" s="67"/>
      <c r="H58" s="29"/>
      <c r="I58" s="97"/>
      <c r="J58" s="97"/>
      <c r="K58" s="29"/>
      <c r="L58" s="29"/>
      <c r="M58" s="67"/>
      <c r="N58" s="29"/>
      <c r="O58" s="30"/>
      <c r="P58" s="30"/>
      <c r="Q58" s="30"/>
    </row>
    <row r="59" spans="2:17" x14ac:dyDescent="0.3">
      <c r="B59" s="29"/>
      <c r="C59" s="97"/>
      <c r="D59" s="97"/>
      <c r="E59" s="29"/>
      <c r="F59" s="29"/>
      <c r="G59" s="67"/>
      <c r="H59" s="29"/>
      <c r="I59" s="97"/>
      <c r="J59" s="97"/>
      <c r="K59" s="29"/>
      <c r="L59" s="29"/>
      <c r="M59" s="67"/>
      <c r="N59" s="29"/>
      <c r="O59" s="30"/>
      <c r="P59" s="30"/>
      <c r="Q59" s="30"/>
    </row>
    <row r="60" spans="2:17" x14ac:dyDescent="0.3">
      <c r="B60" s="29"/>
      <c r="C60" s="97"/>
      <c r="D60" s="97"/>
      <c r="E60" s="29"/>
      <c r="F60" s="29"/>
      <c r="G60" s="67"/>
      <c r="H60" s="29"/>
      <c r="I60" s="97"/>
      <c r="J60" s="97"/>
      <c r="K60" s="29"/>
      <c r="L60" s="29"/>
      <c r="M60" s="67"/>
      <c r="N60" s="29"/>
      <c r="O60" s="30"/>
      <c r="P60" s="30"/>
      <c r="Q60" s="30"/>
    </row>
    <row r="61" spans="2:17" x14ac:dyDescent="0.3">
      <c r="B61" s="29"/>
      <c r="C61" s="97"/>
      <c r="D61" s="97"/>
      <c r="E61" s="29"/>
      <c r="F61" s="29"/>
      <c r="G61" s="67"/>
      <c r="H61" s="29"/>
      <c r="I61" s="97"/>
      <c r="J61" s="97"/>
      <c r="K61" s="29"/>
      <c r="L61" s="29"/>
      <c r="M61" s="67"/>
      <c r="N61" s="29"/>
      <c r="O61" s="30"/>
      <c r="P61" s="30"/>
      <c r="Q61" s="30"/>
    </row>
    <row r="62" spans="2:17" x14ac:dyDescent="0.3">
      <c r="B62" s="29"/>
      <c r="C62" s="97"/>
      <c r="D62" s="97"/>
      <c r="E62" s="29"/>
      <c r="F62" s="29"/>
      <c r="G62" s="67"/>
      <c r="H62" s="29"/>
      <c r="I62" s="97"/>
      <c r="J62" s="97"/>
      <c r="K62" s="29"/>
      <c r="L62" s="29"/>
      <c r="M62" s="67"/>
      <c r="N62" s="29"/>
      <c r="O62" s="30"/>
      <c r="P62" s="30"/>
      <c r="Q62" s="30"/>
    </row>
    <row r="63" spans="2:17" x14ac:dyDescent="0.3">
      <c r="B63" s="29"/>
      <c r="C63" s="97"/>
      <c r="D63" s="97"/>
      <c r="E63" s="29"/>
      <c r="F63" s="29"/>
      <c r="G63" s="67"/>
      <c r="H63" s="29"/>
      <c r="I63" s="97"/>
      <c r="J63" s="97"/>
      <c r="K63" s="29"/>
      <c r="L63" s="29"/>
      <c r="M63" s="67"/>
      <c r="N63" s="29"/>
      <c r="O63" s="30"/>
      <c r="P63" s="30"/>
      <c r="Q63" s="30"/>
    </row>
    <row r="64" spans="2:17" x14ac:dyDescent="0.3">
      <c r="B64" s="29"/>
      <c r="C64" s="97"/>
      <c r="D64" s="97"/>
      <c r="E64" s="29"/>
      <c r="F64" s="29"/>
      <c r="G64" s="67"/>
      <c r="H64" s="29"/>
      <c r="I64" s="97"/>
      <c r="J64" s="97"/>
      <c r="K64" s="29"/>
      <c r="L64" s="29"/>
      <c r="M64" s="67"/>
      <c r="N64" s="29"/>
      <c r="O64" s="30"/>
      <c r="P64" s="30"/>
      <c r="Q64" s="30"/>
    </row>
    <row r="65" spans="2:17" x14ac:dyDescent="0.3">
      <c r="B65" s="29"/>
      <c r="C65" s="97"/>
      <c r="D65" s="97"/>
      <c r="E65" s="29"/>
      <c r="F65" s="29"/>
      <c r="G65" s="67"/>
      <c r="H65" s="29"/>
      <c r="I65" s="97"/>
      <c r="J65" s="97"/>
      <c r="K65" s="29"/>
      <c r="L65" s="29"/>
      <c r="M65" s="67"/>
      <c r="N65" s="29"/>
      <c r="O65" s="30"/>
      <c r="P65" s="30"/>
      <c r="Q65" s="30"/>
    </row>
    <row r="66" spans="2:17" x14ac:dyDescent="0.3">
      <c r="B66" s="29"/>
      <c r="C66" s="97"/>
      <c r="D66" s="97"/>
      <c r="E66" s="29"/>
      <c r="F66" s="29"/>
      <c r="G66" s="67"/>
      <c r="H66" s="29"/>
      <c r="I66" s="97"/>
      <c r="J66" s="97"/>
      <c r="K66" s="29"/>
      <c r="L66" s="29"/>
      <c r="M66" s="67"/>
      <c r="N66" s="29"/>
      <c r="O66" s="30"/>
      <c r="P66" s="30"/>
      <c r="Q66" s="30"/>
    </row>
    <row r="67" spans="2:17" x14ac:dyDescent="0.3">
      <c r="B67" s="29"/>
      <c r="C67" s="97"/>
      <c r="D67" s="97"/>
      <c r="E67" s="29"/>
      <c r="F67" s="29"/>
      <c r="G67" s="67"/>
      <c r="H67" s="29"/>
      <c r="I67" s="97"/>
      <c r="J67" s="97"/>
      <c r="K67" s="29"/>
      <c r="L67" s="29"/>
      <c r="M67" s="67"/>
      <c r="N67" s="29"/>
      <c r="O67" s="30"/>
      <c r="P67" s="30"/>
      <c r="Q67" s="30"/>
    </row>
    <row r="68" spans="2:17" x14ac:dyDescent="0.3">
      <c r="B68" s="29"/>
      <c r="C68" s="97"/>
      <c r="D68" s="97"/>
      <c r="E68" s="29"/>
      <c r="F68" s="29"/>
      <c r="G68" s="67"/>
      <c r="H68" s="29"/>
      <c r="I68" s="97"/>
      <c r="J68" s="97"/>
      <c r="K68" s="29"/>
      <c r="L68" s="29"/>
      <c r="M68" s="67"/>
      <c r="N68" s="29"/>
      <c r="O68" s="30"/>
      <c r="P68" s="30"/>
      <c r="Q68" s="30"/>
    </row>
    <row r="69" spans="2:17" x14ac:dyDescent="0.3">
      <c r="B69" s="29"/>
      <c r="C69" s="97"/>
      <c r="D69" s="97"/>
      <c r="E69" s="29"/>
      <c r="F69" s="29"/>
      <c r="G69" s="67"/>
      <c r="H69" s="29"/>
      <c r="I69" s="97"/>
      <c r="J69" s="97"/>
      <c r="K69" s="29"/>
      <c r="L69" s="29"/>
      <c r="M69" s="67"/>
      <c r="N69" s="29"/>
      <c r="O69" s="30"/>
      <c r="P69" s="30"/>
      <c r="Q69" s="30"/>
    </row>
    <row r="70" spans="2:17" x14ac:dyDescent="0.3">
      <c r="B70" s="29"/>
      <c r="C70" s="97"/>
      <c r="D70" s="97"/>
      <c r="E70" s="29"/>
      <c r="F70" s="29"/>
      <c r="G70" s="67"/>
      <c r="H70" s="29"/>
      <c r="I70" s="97"/>
      <c r="J70" s="97"/>
      <c r="K70" s="29"/>
      <c r="L70" s="29"/>
      <c r="M70" s="67"/>
      <c r="N70" s="29"/>
      <c r="O70" s="30"/>
      <c r="P70" s="30"/>
      <c r="Q70" s="30"/>
    </row>
    <row r="71" spans="2:17" x14ac:dyDescent="0.3">
      <c r="B71" s="29"/>
      <c r="C71" s="97"/>
      <c r="D71" s="97"/>
      <c r="E71" s="29"/>
      <c r="F71" s="29"/>
      <c r="G71" s="67"/>
      <c r="H71" s="29"/>
      <c r="I71" s="97"/>
      <c r="J71" s="97"/>
      <c r="K71" s="29"/>
      <c r="L71" s="29"/>
      <c r="M71" s="67"/>
      <c r="N71" s="29"/>
      <c r="O71" s="30"/>
      <c r="P71" s="30"/>
      <c r="Q71" s="30"/>
    </row>
    <row r="72" spans="2:17" x14ac:dyDescent="0.3">
      <c r="B72" s="29"/>
      <c r="C72" s="97"/>
      <c r="D72" s="97"/>
      <c r="E72" s="29"/>
      <c r="F72" s="29"/>
      <c r="G72" s="67"/>
      <c r="H72" s="29"/>
      <c r="I72" s="97"/>
      <c r="J72" s="97"/>
      <c r="K72" s="29"/>
      <c r="L72" s="29"/>
      <c r="M72" s="67"/>
      <c r="N72" s="29"/>
      <c r="O72" s="30"/>
      <c r="P72" s="30"/>
      <c r="Q72" s="30"/>
    </row>
    <row r="73" spans="2:17" x14ac:dyDescent="0.3">
      <c r="B73" s="29"/>
      <c r="C73" s="97"/>
      <c r="D73" s="97"/>
      <c r="E73" s="29"/>
      <c r="F73" s="29"/>
      <c r="G73" s="67"/>
      <c r="H73" s="29"/>
      <c r="I73" s="97"/>
      <c r="J73" s="97"/>
      <c r="K73" s="29"/>
      <c r="L73" s="29"/>
      <c r="M73" s="67"/>
      <c r="N73" s="29"/>
      <c r="O73" s="30"/>
      <c r="P73" s="30"/>
      <c r="Q73" s="30"/>
    </row>
    <row r="74" spans="2:17" x14ac:dyDescent="0.3">
      <c r="B74" s="29"/>
      <c r="C74" s="97"/>
      <c r="D74" s="97"/>
      <c r="E74" s="29"/>
      <c r="F74" s="29"/>
      <c r="G74" s="67"/>
      <c r="H74" s="29"/>
      <c r="I74" s="97"/>
      <c r="J74" s="97"/>
      <c r="K74" s="29"/>
      <c r="L74" s="29"/>
      <c r="M74" s="67"/>
      <c r="N74" s="29"/>
      <c r="O74" s="30"/>
      <c r="P74" s="30"/>
      <c r="Q74" s="30"/>
    </row>
    <row r="75" spans="2:17" x14ac:dyDescent="0.3">
      <c r="B75" s="29"/>
      <c r="C75" s="97"/>
      <c r="D75" s="97"/>
      <c r="E75" s="29"/>
      <c r="F75" s="29"/>
      <c r="G75" s="67"/>
      <c r="H75" s="29"/>
      <c r="I75" s="97"/>
      <c r="J75" s="97"/>
      <c r="K75" s="29"/>
      <c r="L75" s="29"/>
      <c r="M75" s="67"/>
      <c r="N75" s="29"/>
      <c r="O75" s="30"/>
      <c r="P75" s="30"/>
      <c r="Q75" s="30"/>
    </row>
    <row r="76" spans="2:17" x14ac:dyDescent="0.3">
      <c r="B76" s="29"/>
      <c r="C76" s="97"/>
      <c r="D76" s="97"/>
      <c r="E76" s="29"/>
      <c r="F76" s="29"/>
      <c r="G76" s="67"/>
      <c r="H76" s="29"/>
      <c r="I76" s="97"/>
      <c r="J76" s="97"/>
      <c r="K76" s="29"/>
      <c r="L76" s="29"/>
      <c r="M76" s="67"/>
      <c r="N76" s="29"/>
      <c r="O76" s="30"/>
      <c r="P76" s="30"/>
      <c r="Q76" s="30"/>
    </row>
    <row r="77" spans="2:17" x14ac:dyDescent="0.3">
      <c r="B77" s="29"/>
      <c r="C77" s="97"/>
      <c r="D77" s="97"/>
      <c r="E77" s="29"/>
      <c r="F77" s="29"/>
      <c r="G77" s="67"/>
      <c r="H77" s="29"/>
      <c r="I77" s="97"/>
      <c r="J77" s="97"/>
      <c r="K77" s="29"/>
      <c r="L77" s="29"/>
      <c r="M77" s="67"/>
      <c r="N77" s="29"/>
      <c r="O77" s="30"/>
      <c r="P77" s="30"/>
      <c r="Q77" s="30"/>
    </row>
    <row r="78" spans="2:17" x14ac:dyDescent="0.3">
      <c r="B78" s="29"/>
      <c r="C78" s="97"/>
      <c r="D78" s="97"/>
      <c r="E78" s="29"/>
      <c r="F78" s="29"/>
      <c r="G78" s="67"/>
      <c r="H78" s="29"/>
      <c r="I78" s="97"/>
      <c r="J78" s="97"/>
      <c r="K78" s="29"/>
      <c r="L78" s="29"/>
      <c r="M78" s="67"/>
      <c r="N78" s="29"/>
      <c r="O78" s="30"/>
      <c r="P78" s="30"/>
      <c r="Q78" s="30"/>
    </row>
    <row r="79" spans="2:17" x14ac:dyDescent="0.3">
      <c r="B79" s="29"/>
      <c r="C79" s="97"/>
      <c r="D79" s="97"/>
      <c r="E79" s="29"/>
      <c r="F79" s="29"/>
      <c r="G79" s="67"/>
      <c r="H79" s="29"/>
      <c r="I79" s="97"/>
      <c r="J79" s="97"/>
      <c r="K79" s="29"/>
      <c r="L79" s="29"/>
      <c r="M79" s="67"/>
      <c r="N79" s="29"/>
      <c r="O79" s="30"/>
      <c r="P79" s="30"/>
      <c r="Q79" s="30"/>
    </row>
    <row r="80" spans="2:17" x14ac:dyDescent="0.3">
      <c r="B80" s="29"/>
      <c r="C80" s="97"/>
      <c r="D80" s="97"/>
      <c r="E80" s="29"/>
      <c r="F80" s="29"/>
      <c r="G80" s="67"/>
      <c r="H80" s="29"/>
      <c r="I80" s="97"/>
      <c r="J80" s="97"/>
      <c r="K80" s="29"/>
      <c r="L80" s="29"/>
      <c r="M80" s="67"/>
      <c r="N80" s="29"/>
      <c r="O80" s="30"/>
      <c r="P80" s="30"/>
      <c r="Q80" s="30"/>
    </row>
    <row r="81" spans="2:17" x14ac:dyDescent="0.3">
      <c r="B81" s="29"/>
      <c r="C81" s="97"/>
      <c r="D81" s="97"/>
      <c r="E81" s="29"/>
      <c r="F81" s="29"/>
      <c r="G81" s="67"/>
      <c r="H81" s="29"/>
      <c r="I81" s="97"/>
      <c r="J81" s="97"/>
      <c r="K81" s="29"/>
      <c r="L81" s="29"/>
      <c r="M81" s="67"/>
      <c r="N81" s="29"/>
      <c r="O81" s="30"/>
      <c r="P81" s="30"/>
      <c r="Q81" s="30"/>
    </row>
    <row r="82" spans="2:17" x14ac:dyDescent="0.3">
      <c r="B82" s="29"/>
      <c r="C82" s="97"/>
      <c r="D82" s="97"/>
      <c r="E82" s="29"/>
      <c r="F82" s="29"/>
      <c r="G82" s="67"/>
      <c r="H82" s="29"/>
      <c r="I82" s="97"/>
      <c r="J82" s="97"/>
      <c r="K82" s="29"/>
      <c r="L82" s="29"/>
      <c r="M82" s="67"/>
      <c r="N82" s="29"/>
      <c r="O82" s="30"/>
      <c r="P82" s="30"/>
      <c r="Q82" s="30"/>
    </row>
    <row r="83" spans="2:17" x14ac:dyDescent="0.3">
      <c r="B83" s="29"/>
      <c r="C83" s="97"/>
      <c r="D83" s="97"/>
      <c r="E83" s="29"/>
      <c r="F83" s="29"/>
      <c r="G83" s="67"/>
      <c r="H83" s="29"/>
      <c r="I83" s="97"/>
      <c r="J83" s="97"/>
      <c r="K83" s="29"/>
      <c r="L83" s="29"/>
      <c r="M83" s="67"/>
      <c r="N83" s="29"/>
      <c r="O83" s="30"/>
      <c r="P83" s="30"/>
      <c r="Q83" s="30"/>
    </row>
    <row r="84" spans="2:17" x14ac:dyDescent="0.3">
      <c r="B84" s="29"/>
      <c r="C84" s="97"/>
      <c r="D84" s="97"/>
      <c r="E84" s="29"/>
      <c r="F84" s="29"/>
      <c r="G84" s="67"/>
      <c r="H84" s="29"/>
      <c r="I84" s="97"/>
      <c r="J84" s="97"/>
      <c r="K84" s="29"/>
      <c r="L84" s="29"/>
      <c r="M84" s="67"/>
      <c r="N84" s="29"/>
      <c r="O84" s="30"/>
      <c r="P84" s="30"/>
      <c r="Q84" s="30"/>
    </row>
    <row r="85" spans="2:17" x14ac:dyDescent="0.3">
      <c r="B85" s="29"/>
      <c r="C85" s="97"/>
      <c r="D85" s="97"/>
      <c r="E85" s="29"/>
      <c r="F85" s="29"/>
      <c r="G85" s="67"/>
      <c r="H85" s="29"/>
      <c r="I85" s="97"/>
      <c r="J85" s="97"/>
      <c r="K85" s="29"/>
      <c r="L85" s="29"/>
      <c r="M85" s="67"/>
      <c r="N85" s="29"/>
      <c r="O85" s="30"/>
      <c r="P85" s="30"/>
      <c r="Q85" s="30"/>
    </row>
    <row r="86" spans="2:17" x14ac:dyDescent="0.3">
      <c r="B86" s="29"/>
      <c r="C86" s="97"/>
      <c r="D86" s="97"/>
      <c r="E86" s="29"/>
      <c r="F86" s="29"/>
      <c r="G86" s="67"/>
      <c r="H86" s="29"/>
      <c r="I86" s="97"/>
      <c r="J86" s="97"/>
      <c r="K86" s="29"/>
      <c r="L86" s="29"/>
      <c r="M86" s="67"/>
      <c r="N86" s="29"/>
      <c r="O86" s="30"/>
      <c r="P86" s="30"/>
      <c r="Q86" s="30"/>
    </row>
    <row r="87" spans="2:17" x14ac:dyDescent="0.3">
      <c r="B87" s="29"/>
      <c r="C87" s="97"/>
      <c r="D87" s="97"/>
      <c r="E87" s="29"/>
      <c r="F87" s="29"/>
      <c r="G87" s="67"/>
      <c r="H87" s="29"/>
      <c r="I87" s="97"/>
      <c r="J87" s="97"/>
      <c r="K87" s="29"/>
      <c r="L87" s="29"/>
      <c r="M87" s="67"/>
      <c r="N87" s="29"/>
      <c r="O87" s="30"/>
      <c r="P87" s="30"/>
      <c r="Q87" s="30"/>
    </row>
    <row r="88" spans="2:17" x14ac:dyDescent="0.3">
      <c r="B88" s="29"/>
      <c r="C88" s="97"/>
      <c r="D88" s="97"/>
      <c r="E88" s="29"/>
      <c r="F88" s="29"/>
      <c r="G88" s="67"/>
      <c r="H88" s="29"/>
      <c r="I88" s="97"/>
      <c r="J88" s="97"/>
      <c r="K88" s="29"/>
      <c r="L88" s="29"/>
      <c r="M88" s="67"/>
      <c r="N88" s="29"/>
      <c r="O88" s="30"/>
      <c r="P88" s="30"/>
      <c r="Q88" s="30"/>
    </row>
    <row r="89" spans="2:17" x14ac:dyDescent="0.3">
      <c r="B89" s="29"/>
      <c r="C89" s="97"/>
      <c r="D89" s="97"/>
      <c r="E89" s="29"/>
      <c r="F89" s="29"/>
      <c r="G89" s="67"/>
      <c r="H89" s="29"/>
      <c r="I89" s="97"/>
      <c r="J89" s="97"/>
      <c r="K89" s="29"/>
      <c r="L89" s="29"/>
      <c r="M89" s="67"/>
      <c r="N89" s="29"/>
      <c r="O89" s="30"/>
      <c r="P89" s="30"/>
      <c r="Q89" s="30"/>
    </row>
    <row r="90" spans="2:17" x14ac:dyDescent="0.3">
      <c r="B90" s="29"/>
      <c r="C90" s="97"/>
      <c r="D90" s="97"/>
      <c r="E90" s="29"/>
      <c r="F90" s="29"/>
      <c r="G90" s="67"/>
      <c r="H90" s="29"/>
      <c r="I90" s="97"/>
      <c r="J90" s="97"/>
      <c r="K90" s="29"/>
      <c r="L90" s="29"/>
      <c r="M90" s="67"/>
      <c r="N90" s="29"/>
      <c r="O90" s="30"/>
      <c r="P90" s="30"/>
      <c r="Q90" s="30"/>
    </row>
    <row r="91" spans="2:17" x14ac:dyDescent="0.3">
      <c r="B91" s="29"/>
      <c r="C91" s="97"/>
      <c r="D91" s="97"/>
      <c r="E91" s="29"/>
      <c r="F91" s="29"/>
      <c r="G91" s="67"/>
      <c r="H91" s="29"/>
      <c r="I91" s="97"/>
      <c r="J91" s="97"/>
      <c r="K91" s="29"/>
      <c r="L91" s="29"/>
      <c r="M91" s="67"/>
      <c r="N91" s="29"/>
      <c r="O91" s="30"/>
      <c r="P91" s="30"/>
      <c r="Q91" s="30"/>
    </row>
    <row r="92" spans="2:17" x14ac:dyDescent="0.3">
      <c r="B92" s="29"/>
      <c r="C92" s="97"/>
      <c r="D92" s="97"/>
      <c r="E92" s="29"/>
      <c r="F92" s="29"/>
      <c r="G92" s="67"/>
      <c r="H92" s="29"/>
      <c r="I92" s="97"/>
      <c r="J92" s="97"/>
      <c r="K92" s="29"/>
      <c r="L92" s="29"/>
      <c r="M92" s="67"/>
      <c r="N92" s="29"/>
      <c r="O92" s="30"/>
      <c r="P92" s="30"/>
      <c r="Q92" s="30"/>
    </row>
    <row r="93" spans="2:17" x14ac:dyDescent="0.3">
      <c r="B93" s="29"/>
      <c r="C93" s="97"/>
      <c r="D93" s="97"/>
      <c r="E93" s="29"/>
      <c r="F93" s="29"/>
      <c r="G93" s="67"/>
      <c r="H93" s="29"/>
      <c r="I93" s="97"/>
      <c r="J93" s="97"/>
      <c r="K93" s="29"/>
      <c r="L93" s="29"/>
      <c r="M93" s="67"/>
      <c r="N93" s="29"/>
      <c r="O93" s="30"/>
      <c r="P93" s="30"/>
      <c r="Q93" s="30"/>
    </row>
    <row r="94" spans="2:17" x14ac:dyDescent="0.3">
      <c r="B94" s="29"/>
      <c r="C94" s="97"/>
      <c r="D94" s="97"/>
      <c r="E94" s="29"/>
      <c r="F94" s="29"/>
      <c r="G94" s="67"/>
      <c r="H94" s="29"/>
      <c r="I94" s="97"/>
      <c r="J94" s="97"/>
      <c r="K94" s="29"/>
      <c r="L94" s="29"/>
      <c r="M94" s="67"/>
      <c r="N94" s="29"/>
      <c r="O94" s="30"/>
      <c r="P94" s="30"/>
      <c r="Q94" s="30"/>
    </row>
    <row r="95" spans="2:17" x14ac:dyDescent="0.3">
      <c r="B95" s="29"/>
      <c r="C95" s="97"/>
      <c r="D95" s="97"/>
      <c r="E95" s="29"/>
      <c r="F95" s="29"/>
      <c r="G95" s="67"/>
      <c r="H95" s="29"/>
      <c r="I95" s="97"/>
      <c r="J95" s="97"/>
      <c r="K95" s="29"/>
      <c r="L95" s="29"/>
      <c r="M95" s="67"/>
      <c r="N95" s="29"/>
      <c r="O95" s="30"/>
      <c r="P95" s="30"/>
      <c r="Q95" s="30"/>
    </row>
    <row r="96" spans="2:17" x14ac:dyDescent="0.3">
      <c r="B96" s="29"/>
      <c r="C96" s="97"/>
      <c r="D96" s="97"/>
      <c r="E96" s="29"/>
      <c r="F96" s="29"/>
      <c r="G96" s="67"/>
      <c r="H96" s="29"/>
      <c r="I96" s="97"/>
      <c r="J96" s="97"/>
      <c r="K96" s="29"/>
      <c r="L96" s="29"/>
      <c r="M96" s="67"/>
      <c r="N96" s="29"/>
      <c r="O96" s="30"/>
      <c r="P96" s="30"/>
      <c r="Q96" s="30"/>
    </row>
    <row r="97" spans="2:17" x14ac:dyDescent="0.3">
      <c r="B97" s="29"/>
      <c r="C97" s="97"/>
      <c r="D97" s="97"/>
      <c r="E97" s="29"/>
      <c r="F97" s="29"/>
      <c r="G97" s="67"/>
      <c r="H97" s="29"/>
      <c r="I97" s="97"/>
      <c r="J97" s="97"/>
      <c r="K97" s="29"/>
      <c r="L97" s="29"/>
      <c r="M97" s="67"/>
      <c r="N97" s="29"/>
      <c r="O97" s="30"/>
      <c r="P97" s="30"/>
      <c r="Q97" s="30"/>
    </row>
    <row r="98" spans="2:17" x14ac:dyDescent="0.3">
      <c r="B98" s="29"/>
      <c r="C98" s="97"/>
      <c r="D98" s="97"/>
      <c r="E98" s="29"/>
      <c r="F98" s="29"/>
      <c r="G98" s="67"/>
      <c r="H98" s="29"/>
      <c r="I98" s="97"/>
      <c r="J98" s="97"/>
      <c r="K98" s="29"/>
      <c r="L98" s="29"/>
      <c r="M98" s="67"/>
      <c r="N98" s="29"/>
      <c r="O98" s="30"/>
      <c r="P98" s="30"/>
      <c r="Q98" s="30"/>
    </row>
    <row r="99" spans="2:17" x14ac:dyDescent="0.3">
      <c r="B99" s="29"/>
      <c r="C99" s="97"/>
      <c r="D99" s="97"/>
      <c r="E99" s="29"/>
      <c r="F99" s="29"/>
      <c r="G99" s="67"/>
      <c r="H99" s="29"/>
      <c r="I99" s="97"/>
      <c r="J99" s="97"/>
      <c r="K99" s="29"/>
      <c r="L99" s="29"/>
      <c r="M99" s="67"/>
      <c r="N99" s="29"/>
      <c r="O99" s="30"/>
      <c r="P99" s="30"/>
      <c r="Q99" s="30"/>
    </row>
    <row r="100" spans="2:17" x14ac:dyDescent="0.3">
      <c r="B100" s="29"/>
      <c r="C100" s="97"/>
      <c r="D100" s="97"/>
      <c r="E100" s="29"/>
      <c r="F100" s="29"/>
      <c r="G100" s="67"/>
      <c r="H100" s="29"/>
      <c r="I100" s="97"/>
      <c r="J100" s="97"/>
      <c r="K100" s="29"/>
      <c r="L100" s="29"/>
      <c r="M100" s="67"/>
      <c r="N100" s="29"/>
      <c r="O100" s="30"/>
      <c r="P100" s="30"/>
      <c r="Q100" s="30"/>
    </row>
    <row r="101" spans="2:17" x14ac:dyDescent="0.3">
      <c r="B101" s="29"/>
      <c r="C101" s="97"/>
      <c r="D101" s="97"/>
      <c r="E101" s="29"/>
      <c r="F101" s="29"/>
      <c r="G101" s="67"/>
      <c r="H101" s="29"/>
      <c r="I101" s="97"/>
      <c r="J101" s="97"/>
      <c r="K101" s="29"/>
      <c r="L101" s="29"/>
      <c r="M101" s="67"/>
      <c r="N101" s="29"/>
      <c r="O101" s="30"/>
      <c r="P101" s="30"/>
      <c r="Q101" s="30"/>
    </row>
    <row r="102" spans="2:17" x14ac:dyDescent="0.3">
      <c r="B102" s="29"/>
      <c r="C102" s="97"/>
      <c r="D102" s="97"/>
      <c r="E102" s="29"/>
      <c r="F102" s="29"/>
      <c r="G102" s="67"/>
      <c r="H102" s="29"/>
      <c r="I102" s="97"/>
      <c r="J102" s="97"/>
      <c r="K102" s="29"/>
      <c r="L102" s="29"/>
      <c r="M102" s="67"/>
      <c r="N102" s="29"/>
      <c r="O102" s="30"/>
      <c r="P102" s="30"/>
      <c r="Q102" s="30"/>
    </row>
    <row r="103" spans="2:17" x14ac:dyDescent="0.3">
      <c r="B103" s="29"/>
      <c r="C103" s="97"/>
      <c r="D103" s="97"/>
      <c r="E103" s="29"/>
      <c r="F103" s="29"/>
      <c r="G103" s="67"/>
      <c r="H103" s="29"/>
      <c r="I103" s="97"/>
      <c r="J103" s="97"/>
      <c r="K103" s="29"/>
      <c r="L103" s="29"/>
      <c r="M103" s="67"/>
      <c r="N103" s="29"/>
      <c r="O103" s="30"/>
      <c r="P103" s="30"/>
      <c r="Q103" s="30"/>
    </row>
    <row r="104" spans="2:17" x14ac:dyDescent="0.3">
      <c r="B104" s="29"/>
      <c r="C104" s="97"/>
      <c r="D104" s="97"/>
      <c r="E104" s="29"/>
      <c r="F104" s="29"/>
      <c r="G104" s="67"/>
      <c r="H104" s="29"/>
      <c r="I104" s="97"/>
      <c r="J104" s="97"/>
      <c r="K104" s="29"/>
      <c r="L104" s="29"/>
      <c r="M104" s="67"/>
      <c r="N104" s="29"/>
      <c r="O104" s="30"/>
      <c r="P104" s="30"/>
      <c r="Q104" s="30"/>
    </row>
    <row r="105" spans="2:17" x14ac:dyDescent="0.3">
      <c r="B105" s="29"/>
      <c r="C105" s="97"/>
      <c r="D105" s="97"/>
      <c r="E105" s="29"/>
      <c r="F105" s="29"/>
      <c r="G105" s="67"/>
      <c r="H105" s="29"/>
      <c r="I105" s="97"/>
      <c r="J105" s="97"/>
      <c r="K105" s="29"/>
      <c r="L105" s="29"/>
      <c r="M105" s="67"/>
      <c r="N105" s="29"/>
      <c r="O105" s="30"/>
      <c r="P105" s="30"/>
      <c r="Q105" s="30"/>
    </row>
    <row r="106" spans="2:17" x14ac:dyDescent="0.3">
      <c r="B106" s="29"/>
      <c r="C106" s="97"/>
      <c r="D106" s="97"/>
      <c r="E106" s="29"/>
      <c r="F106" s="29"/>
      <c r="G106" s="67"/>
      <c r="H106" s="29"/>
      <c r="I106" s="97"/>
      <c r="J106" s="97"/>
      <c r="K106" s="29"/>
      <c r="L106" s="29"/>
      <c r="M106" s="67"/>
      <c r="N106" s="29"/>
      <c r="O106" s="30"/>
      <c r="P106" s="30"/>
      <c r="Q106" s="30"/>
    </row>
    <row r="107" spans="2:17" x14ac:dyDescent="0.3">
      <c r="B107" s="29"/>
      <c r="C107" s="97"/>
      <c r="D107" s="97"/>
      <c r="E107" s="29"/>
      <c r="F107" s="29"/>
      <c r="G107" s="67"/>
      <c r="H107" s="29"/>
      <c r="I107" s="97"/>
      <c r="J107" s="97"/>
      <c r="K107" s="29"/>
      <c r="L107" s="29"/>
      <c r="M107" s="67"/>
      <c r="N107" s="29"/>
      <c r="O107" s="30"/>
      <c r="P107" s="30"/>
      <c r="Q107" s="30"/>
    </row>
    <row r="108" spans="2:17" x14ac:dyDescent="0.3">
      <c r="B108" s="29"/>
      <c r="C108" s="97"/>
      <c r="D108" s="97"/>
      <c r="E108" s="29"/>
      <c r="F108" s="29"/>
      <c r="G108" s="67"/>
      <c r="H108" s="29"/>
      <c r="I108" s="97"/>
      <c r="J108" s="97"/>
      <c r="K108" s="29"/>
      <c r="L108" s="29"/>
      <c r="M108" s="67"/>
      <c r="N108" s="29"/>
      <c r="O108" s="30"/>
      <c r="P108" s="30"/>
      <c r="Q108" s="30"/>
    </row>
    <row r="109" spans="2:17" x14ac:dyDescent="0.3">
      <c r="B109" s="29"/>
      <c r="C109" s="97"/>
      <c r="D109" s="97"/>
      <c r="E109" s="29"/>
      <c r="F109" s="29"/>
      <c r="G109" s="67"/>
      <c r="H109" s="29"/>
      <c r="I109" s="97"/>
      <c r="J109" s="97"/>
      <c r="K109" s="29"/>
      <c r="L109" s="29"/>
      <c r="M109" s="67"/>
      <c r="N109" s="29"/>
      <c r="O109" s="30"/>
      <c r="P109" s="30"/>
      <c r="Q109" s="30"/>
    </row>
    <row r="110" spans="2:17" x14ac:dyDescent="0.3">
      <c r="B110" s="29"/>
      <c r="C110" s="97"/>
      <c r="D110" s="97"/>
      <c r="E110" s="29"/>
      <c r="F110" s="29"/>
      <c r="G110" s="67"/>
      <c r="H110" s="29"/>
      <c r="I110" s="97"/>
      <c r="J110" s="97"/>
      <c r="K110" s="29"/>
      <c r="L110" s="29"/>
      <c r="M110" s="67"/>
      <c r="N110" s="29"/>
      <c r="O110" s="30"/>
      <c r="P110" s="30"/>
      <c r="Q110" s="30"/>
    </row>
    <row r="111" spans="2:17" x14ac:dyDescent="0.3">
      <c r="B111" s="29"/>
      <c r="C111" s="97"/>
      <c r="D111" s="97"/>
      <c r="E111" s="29"/>
      <c r="F111" s="29"/>
      <c r="G111" s="67"/>
      <c r="H111" s="29"/>
      <c r="I111" s="97"/>
      <c r="J111" s="97"/>
      <c r="K111" s="29"/>
      <c r="L111" s="29"/>
      <c r="M111" s="67"/>
      <c r="N111" s="29"/>
      <c r="O111" s="30"/>
      <c r="P111" s="30"/>
      <c r="Q111" s="30"/>
    </row>
    <row r="112" spans="2:17" x14ac:dyDescent="0.3">
      <c r="B112" s="29"/>
      <c r="C112" s="97"/>
      <c r="D112" s="97"/>
      <c r="E112" s="29"/>
      <c r="F112" s="29"/>
      <c r="G112" s="67"/>
      <c r="H112" s="29"/>
      <c r="I112" s="97"/>
      <c r="J112" s="97"/>
      <c r="K112" s="29"/>
      <c r="L112" s="29"/>
      <c r="M112" s="67"/>
      <c r="N112" s="29"/>
      <c r="O112" s="30"/>
      <c r="P112" s="30"/>
      <c r="Q112" s="30"/>
    </row>
    <row r="113" spans="2:17" x14ac:dyDescent="0.3">
      <c r="B113" s="29"/>
      <c r="C113" s="97"/>
      <c r="D113" s="97"/>
      <c r="E113" s="29"/>
      <c r="F113" s="29"/>
      <c r="G113" s="67"/>
      <c r="H113" s="29"/>
      <c r="I113" s="97"/>
      <c r="J113" s="97"/>
      <c r="K113" s="29"/>
      <c r="L113" s="29"/>
      <c r="M113" s="67"/>
      <c r="N113" s="29"/>
      <c r="O113" s="30"/>
      <c r="P113" s="30"/>
      <c r="Q113" s="30"/>
    </row>
    <row r="114" spans="2:17" x14ac:dyDescent="0.3">
      <c r="B114" s="29"/>
      <c r="C114" s="97"/>
      <c r="D114" s="97"/>
      <c r="E114" s="29"/>
      <c r="F114" s="29"/>
      <c r="G114" s="67"/>
      <c r="H114" s="29"/>
      <c r="I114" s="97"/>
      <c r="J114" s="97"/>
      <c r="K114" s="29"/>
      <c r="L114" s="29"/>
      <c r="M114" s="67"/>
      <c r="N114" s="29"/>
      <c r="O114" s="30"/>
      <c r="P114" s="30"/>
      <c r="Q114" s="30"/>
    </row>
    <row r="115" spans="2:17" x14ac:dyDescent="0.3">
      <c r="B115" s="29"/>
      <c r="C115" s="97"/>
      <c r="D115" s="97"/>
      <c r="E115" s="29"/>
      <c r="F115" s="29"/>
      <c r="G115" s="67"/>
      <c r="H115" s="29"/>
      <c r="I115" s="97"/>
      <c r="J115" s="97"/>
      <c r="K115" s="29"/>
      <c r="L115" s="29"/>
      <c r="M115" s="67"/>
      <c r="N115" s="29"/>
      <c r="O115" s="30"/>
      <c r="P115" s="30"/>
      <c r="Q115" s="30"/>
    </row>
    <row r="116" spans="2:17" x14ac:dyDescent="0.3">
      <c r="B116" s="29"/>
      <c r="C116" s="97"/>
      <c r="D116" s="97"/>
      <c r="E116" s="29"/>
      <c r="F116" s="29"/>
      <c r="G116" s="67"/>
      <c r="H116" s="29"/>
      <c r="I116" s="97"/>
      <c r="J116" s="97"/>
      <c r="K116" s="29"/>
      <c r="L116" s="29"/>
      <c r="M116" s="67"/>
      <c r="N116" s="29"/>
      <c r="O116" s="30"/>
      <c r="P116" s="30"/>
      <c r="Q116" s="30"/>
    </row>
    <row r="117" spans="2:17" x14ac:dyDescent="0.3">
      <c r="B117" s="29"/>
      <c r="C117" s="97"/>
      <c r="D117" s="97"/>
      <c r="E117" s="29"/>
      <c r="F117" s="29"/>
      <c r="G117" s="67"/>
      <c r="H117" s="29"/>
      <c r="I117" s="97"/>
      <c r="J117" s="97"/>
      <c r="K117" s="29"/>
      <c r="L117" s="29"/>
      <c r="M117" s="67"/>
      <c r="N117" s="29"/>
      <c r="O117" s="30"/>
      <c r="P117" s="30"/>
      <c r="Q117" s="30"/>
    </row>
    <row r="118" spans="2:17" x14ac:dyDescent="0.3">
      <c r="B118" s="29"/>
      <c r="C118" s="97"/>
      <c r="D118" s="97"/>
      <c r="E118" s="29"/>
      <c r="F118" s="29"/>
      <c r="G118" s="67"/>
      <c r="H118" s="29"/>
      <c r="I118" s="97"/>
      <c r="J118" s="97"/>
      <c r="K118" s="29"/>
      <c r="L118" s="29"/>
      <c r="M118" s="67"/>
      <c r="N118" s="29"/>
      <c r="O118" s="30"/>
      <c r="P118" s="30"/>
      <c r="Q118" s="30"/>
    </row>
    <row r="119" spans="2:17" x14ac:dyDescent="0.3">
      <c r="B119" s="29"/>
      <c r="C119" s="97"/>
      <c r="D119" s="97"/>
      <c r="E119" s="29"/>
      <c r="F119" s="29"/>
      <c r="G119" s="67"/>
      <c r="H119" s="29"/>
      <c r="I119" s="97"/>
      <c r="J119" s="97"/>
      <c r="K119" s="29"/>
      <c r="L119" s="29"/>
      <c r="M119" s="67"/>
      <c r="N119" s="29"/>
      <c r="O119" s="30"/>
      <c r="P119" s="30"/>
      <c r="Q119" s="30"/>
    </row>
    <row r="120" spans="2:17" x14ac:dyDescent="0.3">
      <c r="B120" s="29"/>
      <c r="C120" s="97"/>
      <c r="D120" s="97"/>
      <c r="E120" s="29"/>
      <c r="F120" s="29"/>
      <c r="G120" s="67"/>
      <c r="H120" s="29"/>
      <c r="I120" s="97"/>
      <c r="J120" s="97"/>
      <c r="K120" s="29"/>
      <c r="L120" s="29"/>
      <c r="M120" s="67"/>
      <c r="N120" s="29"/>
      <c r="O120" s="30"/>
      <c r="P120" s="30"/>
      <c r="Q120" s="30"/>
    </row>
    <row r="121" spans="2:17" x14ac:dyDescent="0.3">
      <c r="B121" s="29"/>
      <c r="C121" s="97"/>
      <c r="D121" s="97"/>
      <c r="E121" s="29"/>
      <c r="F121" s="29"/>
      <c r="G121" s="67"/>
      <c r="H121" s="29"/>
      <c r="I121" s="97"/>
      <c r="J121" s="97"/>
      <c r="K121" s="29"/>
      <c r="L121" s="29"/>
      <c r="M121" s="67"/>
      <c r="N121" s="29"/>
      <c r="O121" s="30"/>
      <c r="P121" s="30"/>
      <c r="Q121" s="30"/>
    </row>
    <row r="122" spans="2:17" x14ac:dyDescent="0.3">
      <c r="B122" s="29"/>
      <c r="C122" s="97"/>
      <c r="D122" s="97"/>
      <c r="E122" s="29"/>
      <c r="F122" s="29"/>
      <c r="G122" s="67"/>
      <c r="H122" s="29"/>
      <c r="I122" s="97"/>
      <c r="J122" s="97"/>
      <c r="K122" s="29"/>
      <c r="L122" s="29"/>
      <c r="M122" s="67"/>
      <c r="N122" s="29"/>
      <c r="O122" s="30"/>
      <c r="P122" s="30"/>
      <c r="Q122" s="30"/>
    </row>
    <row r="123" spans="2:17" x14ac:dyDescent="0.3">
      <c r="B123" s="29"/>
      <c r="C123" s="97"/>
      <c r="D123" s="97"/>
      <c r="E123" s="29"/>
      <c r="F123" s="29"/>
      <c r="G123" s="67"/>
      <c r="H123" s="29"/>
      <c r="I123" s="97"/>
      <c r="J123" s="97"/>
      <c r="K123" s="29"/>
      <c r="L123" s="29"/>
      <c r="M123" s="67"/>
      <c r="N123" s="29"/>
      <c r="O123" s="30"/>
      <c r="P123" s="30"/>
      <c r="Q123" s="30"/>
    </row>
    <row r="124" spans="2:17" x14ac:dyDescent="0.3">
      <c r="B124" s="29"/>
      <c r="C124" s="97"/>
      <c r="D124" s="97"/>
      <c r="E124" s="29"/>
      <c r="F124" s="29"/>
      <c r="G124" s="67"/>
      <c r="H124" s="29"/>
      <c r="I124" s="97"/>
      <c r="J124" s="97"/>
      <c r="K124" s="29"/>
      <c r="L124" s="29"/>
      <c r="M124" s="67"/>
      <c r="N124" s="29"/>
      <c r="O124" s="30"/>
      <c r="P124" s="30"/>
      <c r="Q124" s="30"/>
    </row>
    <row r="125" spans="2:17" x14ac:dyDescent="0.3">
      <c r="B125" s="29"/>
      <c r="C125" s="97"/>
      <c r="D125" s="97"/>
      <c r="E125" s="29"/>
      <c r="F125" s="29"/>
      <c r="G125" s="67"/>
      <c r="H125" s="29"/>
      <c r="I125" s="97"/>
      <c r="J125" s="97"/>
      <c r="K125" s="29"/>
      <c r="L125" s="29"/>
      <c r="M125" s="67"/>
      <c r="N125" s="29"/>
      <c r="O125" s="30"/>
      <c r="P125" s="30"/>
      <c r="Q125" s="30"/>
    </row>
    <row r="126" spans="2:17" x14ac:dyDescent="0.3">
      <c r="B126" s="29"/>
      <c r="C126" s="97"/>
      <c r="D126" s="97"/>
      <c r="E126" s="29"/>
      <c r="F126" s="29"/>
      <c r="G126" s="67"/>
      <c r="H126" s="29"/>
      <c r="I126" s="97"/>
      <c r="J126" s="97"/>
      <c r="K126" s="29"/>
      <c r="L126" s="29"/>
      <c r="M126" s="67"/>
      <c r="N126" s="29"/>
      <c r="O126" s="30"/>
      <c r="P126" s="30"/>
      <c r="Q126" s="30"/>
    </row>
    <row r="127" spans="2:17" x14ac:dyDescent="0.3">
      <c r="B127" s="29"/>
      <c r="C127" s="97"/>
      <c r="D127" s="97"/>
      <c r="E127" s="29"/>
      <c r="F127" s="29"/>
      <c r="G127" s="67"/>
      <c r="H127" s="29"/>
      <c r="I127" s="97"/>
      <c r="J127" s="97"/>
      <c r="K127" s="29"/>
      <c r="L127" s="29"/>
      <c r="M127" s="67"/>
      <c r="N127" s="29"/>
      <c r="O127" s="30"/>
      <c r="P127" s="30"/>
      <c r="Q127" s="30"/>
    </row>
    <row r="128" spans="2:17" x14ac:dyDescent="0.3">
      <c r="B128" s="29"/>
      <c r="C128" s="97"/>
      <c r="D128" s="97"/>
      <c r="E128" s="29"/>
      <c r="F128" s="29"/>
      <c r="G128" s="67"/>
      <c r="H128" s="29"/>
      <c r="I128" s="97"/>
      <c r="J128" s="97"/>
      <c r="K128" s="29"/>
      <c r="L128" s="29"/>
      <c r="M128" s="67"/>
      <c r="N128" s="29"/>
      <c r="O128" s="30"/>
      <c r="P128" s="30"/>
      <c r="Q128" s="30"/>
    </row>
    <row r="129" spans="2:17" x14ac:dyDescent="0.3">
      <c r="B129" s="29"/>
      <c r="C129" s="97"/>
      <c r="D129" s="97"/>
      <c r="E129" s="29"/>
      <c r="F129" s="29"/>
      <c r="G129" s="67"/>
      <c r="H129" s="29"/>
      <c r="I129" s="97"/>
      <c r="J129" s="97"/>
      <c r="K129" s="29"/>
      <c r="L129" s="29"/>
      <c r="M129" s="67"/>
      <c r="N129" s="29"/>
      <c r="O129" s="30"/>
      <c r="P129" s="30"/>
      <c r="Q129" s="30"/>
    </row>
    <row r="130" spans="2:17" x14ac:dyDescent="0.3">
      <c r="B130" s="29"/>
      <c r="C130" s="97"/>
      <c r="D130" s="97"/>
      <c r="E130" s="29"/>
      <c r="F130" s="29"/>
      <c r="G130" s="67"/>
      <c r="H130" s="29"/>
      <c r="I130" s="97"/>
      <c r="J130" s="97"/>
      <c r="K130" s="29"/>
      <c r="L130" s="29"/>
      <c r="M130" s="67"/>
      <c r="N130" s="29"/>
      <c r="O130" s="30"/>
      <c r="P130" s="30"/>
      <c r="Q130" s="30"/>
    </row>
    <row r="131" spans="2:17" x14ac:dyDescent="0.3">
      <c r="B131" s="29"/>
      <c r="C131" s="97"/>
      <c r="D131" s="97"/>
      <c r="E131" s="29"/>
      <c r="F131" s="29"/>
      <c r="G131" s="67"/>
      <c r="H131" s="29"/>
      <c r="I131" s="97"/>
      <c r="J131" s="97"/>
      <c r="K131" s="29"/>
      <c r="L131" s="29"/>
      <c r="M131" s="67"/>
      <c r="N131" s="29"/>
      <c r="O131" s="30"/>
      <c r="P131" s="30"/>
      <c r="Q131" s="30"/>
    </row>
    <row r="132" spans="2:17" x14ac:dyDescent="0.3">
      <c r="B132" s="29"/>
      <c r="C132" s="97"/>
      <c r="D132" s="97"/>
      <c r="E132" s="29"/>
      <c r="F132" s="29"/>
      <c r="G132" s="67"/>
      <c r="H132" s="29"/>
      <c r="I132" s="97"/>
      <c r="J132" s="97"/>
      <c r="K132" s="29"/>
      <c r="L132" s="29"/>
      <c r="M132" s="67"/>
      <c r="N132" s="29"/>
      <c r="O132" s="30"/>
      <c r="P132" s="30"/>
      <c r="Q132" s="30"/>
    </row>
    <row r="133" spans="2:17" x14ac:dyDescent="0.3">
      <c r="B133" s="29"/>
      <c r="C133" s="97"/>
      <c r="D133" s="97"/>
      <c r="E133" s="29"/>
      <c r="F133" s="29"/>
      <c r="G133" s="67"/>
      <c r="H133" s="29"/>
      <c r="I133" s="97"/>
      <c r="J133" s="97"/>
      <c r="K133" s="29"/>
      <c r="L133" s="29"/>
      <c r="M133" s="67"/>
      <c r="N133" s="29"/>
      <c r="O133" s="30"/>
      <c r="P133" s="30"/>
      <c r="Q133" s="30"/>
    </row>
    <row r="134" spans="2:17" x14ac:dyDescent="0.3">
      <c r="B134" s="29"/>
      <c r="C134" s="97"/>
      <c r="D134" s="97"/>
      <c r="E134" s="29"/>
      <c r="F134" s="29"/>
      <c r="G134" s="67"/>
      <c r="H134" s="29"/>
      <c r="I134" s="97"/>
      <c r="J134" s="97"/>
      <c r="K134" s="29"/>
      <c r="L134" s="29"/>
      <c r="M134" s="67"/>
      <c r="N134" s="29"/>
      <c r="O134" s="30"/>
      <c r="P134" s="30"/>
      <c r="Q134" s="30"/>
    </row>
    <row r="135" spans="2:17" x14ac:dyDescent="0.3">
      <c r="B135" s="29"/>
      <c r="C135" s="97"/>
      <c r="D135" s="97"/>
      <c r="E135" s="29"/>
      <c r="F135" s="29"/>
      <c r="G135" s="67"/>
      <c r="H135" s="29"/>
      <c r="I135" s="97"/>
      <c r="J135" s="97"/>
      <c r="K135" s="29"/>
      <c r="L135" s="29"/>
      <c r="M135" s="67"/>
      <c r="N135" s="29"/>
      <c r="O135" s="30"/>
      <c r="P135" s="30"/>
      <c r="Q135" s="30"/>
    </row>
    <row r="136" spans="2:17" x14ac:dyDescent="0.3">
      <c r="B136" s="29"/>
      <c r="C136" s="97"/>
      <c r="D136" s="97"/>
      <c r="E136" s="29"/>
      <c r="F136" s="29"/>
      <c r="G136" s="67"/>
      <c r="H136" s="29"/>
      <c r="I136" s="97"/>
      <c r="J136" s="97"/>
      <c r="K136" s="29"/>
      <c r="L136" s="29"/>
      <c r="M136" s="67"/>
      <c r="N136" s="29"/>
      <c r="O136" s="30"/>
      <c r="P136" s="30"/>
      <c r="Q136" s="30"/>
    </row>
    <row r="137" spans="2:17" x14ac:dyDescent="0.3">
      <c r="B137" s="29"/>
      <c r="C137" s="97"/>
      <c r="D137" s="97"/>
      <c r="E137" s="29"/>
      <c r="F137" s="29"/>
      <c r="G137" s="67"/>
      <c r="H137" s="29"/>
      <c r="I137" s="97"/>
      <c r="J137" s="97"/>
      <c r="K137" s="29"/>
      <c r="L137" s="29"/>
      <c r="M137" s="67"/>
      <c r="N137" s="29"/>
      <c r="O137" s="30"/>
      <c r="P137" s="30"/>
      <c r="Q137" s="30"/>
    </row>
    <row r="138" spans="2:17" x14ac:dyDescent="0.3">
      <c r="B138" s="29"/>
      <c r="C138" s="97"/>
      <c r="D138" s="97"/>
      <c r="E138" s="29"/>
      <c r="F138" s="29"/>
      <c r="G138" s="67"/>
      <c r="H138" s="29"/>
      <c r="I138" s="97"/>
      <c r="J138" s="97"/>
      <c r="K138" s="29"/>
      <c r="L138" s="29"/>
      <c r="M138" s="67"/>
      <c r="N138" s="29"/>
      <c r="O138" s="30"/>
      <c r="P138" s="30"/>
      <c r="Q138" s="30"/>
    </row>
    <row r="139" spans="2:17" x14ac:dyDescent="0.3">
      <c r="B139" s="29"/>
      <c r="C139" s="97"/>
      <c r="D139" s="97"/>
      <c r="E139" s="29"/>
      <c r="F139" s="29"/>
      <c r="G139" s="67"/>
      <c r="H139" s="29"/>
      <c r="I139" s="97"/>
      <c r="J139" s="97"/>
      <c r="K139" s="29"/>
      <c r="L139" s="29"/>
      <c r="M139" s="67"/>
      <c r="N139" s="29"/>
      <c r="O139" s="30"/>
      <c r="P139" s="30"/>
      <c r="Q139" s="30"/>
    </row>
    <row r="140" spans="2:17" x14ac:dyDescent="0.3">
      <c r="B140" s="29"/>
      <c r="C140" s="97"/>
      <c r="D140" s="97"/>
      <c r="E140" s="29"/>
      <c r="F140" s="29"/>
      <c r="G140" s="67"/>
      <c r="H140" s="29"/>
      <c r="I140" s="97"/>
      <c r="J140" s="97"/>
      <c r="K140" s="29"/>
      <c r="L140" s="29"/>
      <c r="M140" s="67"/>
      <c r="N140" s="29"/>
      <c r="O140" s="30"/>
      <c r="P140" s="30"/>
      <c r="Q140" s="30"/>
    </row>
    <row r="141" spans="2:17" x14ac:dyDescent="0.3">
      <c r="B141" s="29"/>
      <c r="C141" s="97"/>
      <c r="D141" s="97"/>
      <c r="E141" s="29"/>
      <c r="F141" s="29"/>
      <c r="G141" s="67"/>
      <c r="H141" s="29"/>
      <c r="I141" s="97"/>
      <c r="J141" s="97"/>
      <c r="K141" s="29"/>
      <c r="L141" s="29"/>
      <c r="M141" s="67"/>
      <c r="N141" s="29"/>
      <c r="O141" s="30"/>
      <c r="P141" s="30"/>
      <c r="Q141" s="30"/>
    </row>
    <row r="142" spans="2:17" x14ac:dyDescent="0.3">
      <c r="B142" s="29"/>
      <c r="C142" s="97"/>
      <c r="D142" s="97"/>
      <c r="E142" s="29"/>
      <c r="F142" s="29"/>
      <c r="G142" s="67"/>
      <c r="H142" s="29"/>
      <c r="I142" s="97"/>
      <c r="J142" s="97"/>
      <c r="K142" s="29"/>
      <c r="L142" s="29"/>
      <c r="M142" s="67"/>
      <c r="N142" s="29"/>
      <c r="O142" s="30"/>
      <c r="P142" s="30"/>
      <c r="Q142" s="30"/>
    </row>
    <row r="143" spans="2:17" x14ac:dyDescent="0.3">
      <c r="B143" s="29"/>
      <c r="C143" s="97"/>
      <c r="D143" s="97"/>
      <c r="E143" s="29"/>
      <c r="F143" s="29"/>
      <c r="G143" s="67"/>
      <c r="H143" s="29"/>
      <c r="I143" s="97"/>
      <c r="J143" s="97"/>
      <c r="K143" s="29"/>
      <c r="L143" s="29"/>
      <c r="M143" s="67"/>
      <c r="N143" s="29"/>
      <c r="O143" s="30"/>
      <c r="P143" s="30"/>
      <c r="Q143" s="30"/>
    </row>
    <row r="144" spans="2:17" x14ac:dyDescent="0.3">
      <c r="B144" s="29"/>
      <c r="C144" s="97"/>
      <c r="D144" s="97"/>
      <c r="E144" s="29"/>
      <c r="F144" s="29"/>
      <c r="G144" s="67"/>
      <c r="H144" s="29"/>
      <c r="I144" s="97"/>
      <c r="J144" s="97"/>
      <c r="K144" s="29"/>
      <c r="L144" s="29"/>
      <c r="M144" s="67"/>
      <c r="N144" s="29"/>
      <c r="O144" s="30"/>
      <c r="P144" s="30"/>
      <c r="Q144" s="30"/>
    </row>
    <row r="145" spans="2:17" x14ac:dyDescent="0.3">
      <c r="B145" s="29"/>
      <c r="C145" s="97"/>
      <c r="D145" s="97"/>
      <c r="E145" s="29"/>
      <c r="F145" s="29"/>
      <c r="G145" s="67"/>
      <c r="H145" s="29"/>
      <c r="I145" s="97"/>
      <c r="J145" s="97"/>
      <c r="K145" s="29"/>
      <c r="L145" s="29"/>
      <c r="M145" s="67"/>
      <c r="N145" s="29"/>
      <c r="O145" s="30"/>
      <c r="P145" s="30"/>
      <c r="Q145" s="30"/>
    </row>
    <row r="146" spans="2:17" x14ac:dyDescent="0.3">
      <c r="B146" s="29"/>
      <c r="C146" s="97"/>
      <c r="D146" s="97"/>
      <c r="E146" s="29"/>
      <c r="F146" s="29"/>
      <c r="G146" s="67"/>
      <c r="H146" s="29"/>
      <c r="I146" s="97"/>
      <c r="J146" s="97"/>
      <c r="K146" s="29"/>
      <c r="L146" s="29"/>
      <c r="M146" s="67"/>
      <c r="N146" s="29"/>
      <c r="O146" s="30"/>
      <c r="P146" s="30"/>
      <c r="Q146" s="30"/>
    </row>
    <row r="147" spans="2:17" x14ac:dyDescent="0.3">
      <c r="B147" s="29"/>
      <c r="C147" s="97"/>
      <c r="D147" s="97"/>
      <c r="E147" s="29"/>
      <c r="F147" s="29"/>
      <c r="G147" s="67"/>
      <c r="H147" s="29"/>
      <c r="I147" s="97"/>
      <c r="J147" s="97"/>
      <c r="K147" s="29"/>
      <c r="L147" s="29"/>
      <c r="M147" s="67"/>
      <c r="N147" s="29"/>
      <c r="O147" s="30"/>
      <c r="P147" s="30"/>
      <c r="Q147" s="30"/>
    </row>
    <row r="148" spans="2:17" x14ac:dyDescent="0.3">
      <c r="B148" s="29"/>
      <c r="C148" s="97"/>
      <c r="D148" s="97"/>
      <c r="E148" s="29"/>
      <c r="F148" s="29"/>
      <c r="G148" s="67"/>
      <c r="H148" s="29"/>
      <c r="I148" s="97"/>
      <c r="J148" s="97"/>
      <c r="K148" s="29"/>
      <c r="L148" s="29"/>
      <c r="M148" s="67"/>
      <c r="N148" s="29"/>
      <c r="O148" s="30"/>
      <c r="P148" s="30"/>
      <c r="Q148" s="30"/>
    </row>
    <row r="149" spans="2:17" x14ac:dyDescent="0.3">
      <c r="B149" s="29"/>
      <c r="C149" s="97"/>
      <c r="D149" s="97"/>
      <c r="E149" s="29"/>
      <c r="F149" s="29"/>
      <c r="G149" s="67"/>
      <c r="H149" s="29"/>
      <c r="I149" s="97"/>
      <c r="J149" s="97"/>
      <c r="K149" s="29"/>
      <c r="L149" s="29"/>
      <c r="M149" s="67"/>
      <c r="N149" s="29"/>
      <c r="O149" s="30"/>
      <c r="P149" s="30"/>
      <c r="Q149" s="30"/>
    </row>
    <row r="150" spans="2:17" x14ac:dyDescent="0.3">
      <c r="B150" s="29"/>
      <c r="C150" s="97"/>
      <c r="D150" s="97"/>
      <c r="E150" s="29"/>
      <c r="F150" s="29"/>
      <c r="G150" s="67"/>
      <c r="H150" s="29"/>
      <c r="I150" s="97"/>
      <c r="J150" s="97"/>
      <c r="K150" s="29"/>
      <c r="L150" s="29"/>
      <c r="M150" s="67"/>
      <c r="N150" s="29"/>
      <c r="O150" s="30"/>
      <c r="P150" s="30"/>
      <c r="Q150" s="30"/>
    </row>
    <row r="151" spans="2:17" x14ac:dyDescent="0.3">
      <c r="B151" s="29"/>
      <c r="C151" s="97"/>
      <c r="D151" s="97"/>
      <c r="E151" s="29"/>
      <c r="F151" s="29"/>
      <c r="G151" s="67"/>
      <c r="H151" s="29"/>
      <c r="I151" s="97"/>
      <c r="J151" s="97"/>
      <c r="K151" s="29"/>
      <c r="L151" s="29"/>
      <c r="M151" s="67"/>
      <c r="N151" s="29"/>
      <c r="O151" s="30"/>
      <c r="P151" s="30"/>
      <c r="Q151" s="30"/>
    </row>
    <row r="152" spans="2:17" x14ac:dyDescent="0.3">
      <c r="B152" s="29"/>
      <c r="C152" s="97"/>
      <c r="D152" s="97"/>
      <c r="E152" s="29"/>
      <c r="F152" s="29"/>
      <c r="G152" s="67"/>
      <c r="H152" s="29"/>
      <c r="I152" s="97"/>
      <c r="J152" s="97"/>
      <c r="K152" s="29"/>
      <c r="L152" s="29"/>
      <c r="M152" s="67"/>
      <c r="N152" s="29"/>
      <c r="O152" s="30"/>
      <c r="P152" s="30"/>
      <c r="Q152" s="30"/>
    </row>
    <row r="153" spans="2:17" x14ac:dyDescent="0.3">
      <c r="B153" s="29"/>
      <c r="C153" s="97"/>
      <c r="D153" s="97"/>
      <c r="E153" s="29"/>
      <c r="F153" s="29"/>
      <c r="G153" s="67"/>
      <c r="H153" s="29"/>
      <c r="I153" s="97"/>
      <c r="J153" s="97"/>
      <c r="K153" s="29"/>
      <c r="L153" s="29"/>
      <c r="M153" s="67"/>
      <c r="N153" s="29"/>
      <c r="O153" s="30"/>
      <c r="P153" s="30"/>
      <c r="Q153" s="30"/>
    </row>
    <row r="154" spans="2:17" x14ac:dyDescent="0.3">
      <c r="B154" s="29"/>
      <c r="C154" s="97"/>
      <c r="D154" s="97"/>
      <c r="E154" s="29"/>
      <c r="F154" s="29"/>
      <c r="G154" s="67"/>
      <c r="H154" s="29"/>
      <c r="I154" s="97"/>
      <c r="J154" s="97"/>
      <c r="K154" s="29"/>
      <c r="L154" s="29"/>
      <c r="M154" s="67"/>
      <c r="N154" s="29"/>
      <c r="O154" s="30"/>
      <c r="P154" s="30"/>
      <c r="Q154" s="30"/>
    </row>
    <row r="155" spans="2:17" x14ac:dyDescent="0.3">
      <c r="B155" s="29"/>
      <c r="C155" s="97"/>
      <c r="D155" s="97"/>
      <c r="E155" s="29"/>
      <c r="F155" s="29"/>
      <c r="G155" s="67"/>
      <c r="H155" s="29"/>
      <c r="I155" s="97"/>
      <c r="J155" s="97"/>
      <c r="K155" s="29"/>
      <c r="L155" s="29"/>
      <c r="M155" s="67"/>
      <c r="N155" s="29"/>
      <c r="O155" s="30"/>
      <c r="P155" s="30"/>
      <c r="Q155" s="30"/>
    </row>
    <row r="156" spans="2:17" x14ac:dyDescent="0.3">
      <c r="B156" s="29"/>
      <c r="C156" s="97"/>
      <c r="D156" s="97"/>
      <c r="E156" s="29"/>
      <c r="F156" s="29"/>
      <c r="G156" s="67"/>
      <c r="H156" s="29"/>
      <c r="I156" s="97"/>
      <c r="J156" s="97"/>
      <c r="K156" s="29"/>
      <c r="L156" s="29"/>
      <c r="M156" s="67"/>
      <c r="N156" s="29"/>
      <c r="O156" s="30"/>
      <c r="P156" s="30"/>
      <c r="Q156" s="30"/>
    </row>
    <row r="157" spans="2:17" x14ac:dyDescent="0.3">
      <c r="B157" s="29"/>
      <c r="C157" s="97"/>
      <c r="D157" s="97"/>
      <c r="E157" s="29"/>
      <c r="F157" s="29"/>
      <c r="G157" s="67"/>
      <c r="H157" s="29"/>
      <c r="I157" s="97"/>
      <c r="J157" s="97"/>
      <c r="K157" s="29"/>
      <c r="L157" s="29"/>
      <c r="M157" s="67"/>
      <c r="N157" s="29"/>
      <c r="O157" s="30"/>
      <c r="P157" s="30"/>
      <c r="Q157" s="30"/>
    </row>
    <row r="158" spans="2:17" x14ac:dyDescent="0.3">
      <c r="B158" s="29"/>
      <c r="C158" s="97"/>
      <c r="D158" s="97"/>
      <c r="E158" s="29"/>
      <c r="F158" s="29"/>
      <c r="G158" s="67"/>
      <c r="H158" s="29"/>
      <c r="I158" s="97"/>
      <c r="J158" s="97"/>
      <c r="K158" s="29"/>
      <c r="L158" s="29"/>
      <c r="M158" s="67"/>
      <c r="N158" s="29"/>
      <c r="O158" s="30"/>
      <c r="P158" s="30"/>
      <c r="Q158" s="30"/>
    </row>
    <row r="159" spans="2:17" x14ac:dyDescent="0.3">
      <c r="B159" s="29"/>
      <c r="C159" s="97"/>
      <c r="D159" s="97"/>
      <c r="E159" s="29"/>
      <c r="F159" s="29"/>
      <c r="G159" s="67"/>
      <c r="H159" s="29"/>
      <c r="I159" s="97"/>
      <c r="J159" s="97"/>
      <c r="K159" s="29"/>
      <c r="L159" s="29"/>
      <c r="M159" s="67"/>
      <c r="N159" s="29"/>
      <c r="O159" s="30"/>
      <c r="P159" s="30"/>
      <c r="Q159" s="30"/>
    </row>
    <row r="160" spans="2:17" x14ac:dyDescent="0.3">
      <c r="B160" s="29"/>
      <c r="C160" s="97"/>
      <c r="D160" s="97"/>
      <c r="E160" s="29"/>
      <c r="F160" s="29"/>
      <c r="G160" s="67"/>
      <c r="H160" s="29"/>
      <c r="I160" s="97"/>
      <c r="J160" s="97"/>
      <c r="K160" s="29"/>
      <c r="L160" s="29"/>
      <c r="M160" s="67"/>
      <c r="N160" s="29"/>
      <c r="O160" s="30"/>
      <c r="P160" s="30"/>
      <c r="Q160" s="30"/>
    </row>
    <row r="161" spans="2:17" x14ac:dyDescent="0.3">
      <c r="B161" s="29"/>
      <c r="C161" s="97"/>
      <c r="D161" s="97"/>
      <c r="E161" s="29"/>
      <c r="F161" s="29"/>
      <c r="G161" s="67"/>
      <c r="H161" s="29"/>
      <c r="I161" s="97"/>
      <c r="J161" s="97"/>
      <c r="K161" s="29"/>
      <c r="L161" s="29"/>
      <c r="M161" s="67"/>
      <c r="N161" s="29"/>
      <c r="O161" s="30"/>
      <c r="P161" s="30"/>
      <c r="Q161" s="30"/>
    </row>
    <row r="162" spans="2:17" x14ac:dyDescent="0.3">
      <c r="B162" s="29"/>
      <c r="C162" s="97"/>
      <c r="D162" s="97"/>
      <c r="E162" s="29"/>
      <c r="F162" s="29"/>
      <c r="G162" s="67"/>
      <c r="H162" s="29"/>
      <c r="I162" s="97"/>
      <c r="J162" s="97"/>
      <c r="K162" s="29"/>
      <c r="L162" s="29"/>
      <c r="M162" s="67"/>
      <c r="N162" s="29"/>
      <c r="O162" s="30"/>
      <c r="P162" s="30"/>
      <c r="Q162" s="30"/>
    </row>
    <row r="163" spans="2:17" x14ac:dyDescent="0.3">
      <c r="B163" s="29"/>
      <c r="C163" s="97"/>
      <c r="D163" s="97"/>
      <c r="E163" s="29"/>
      <c r="F163" s="29"/>
      <c r="G163" s="67"/>
      <c r="H163" s="29"/>
      <c r="I163" s="97"/>
      <c r="J163" s="97"/>
      <c r="K163" s="29"/>
      <c r="L163" s="29"/>
      <c r="M163" s="67"/>
      <c r="N163" s="29"/>
      <c r="O163" s="30"/>
      <c r="P163" s="30"/>
      <c r="Q163" s="30"/>
    </row>
    <row r="164" spans="2:17" x14ac:dyDescent="0.3">
      <c r="B164" s="29"/>
      <c r="C164" s="97"/>
      <c r="D164" s="97"/>
      <c r="E164" s="29"/>
      <c r="F164" s="29"/>
      <c r="G164" s="67"/>
      <c r="H164" s="29"/>
      <c r="I164" s="97"/>
      <c r="J164" s="97"/>
      <c r="K164" s="29"/>
      <c r="L164" s="29"/>
      <c r="M164" s="67"/>
      <c r="N164" s="29"/>
      <c r="O164" s="30"/>
      <c r="P164" s="30"/>
      <c r="Q164" s="30"/>
    </row>
    <row r="165" spans="2:17" x14ac:dyDescent="0.3">
      <c r="B165" s="29"/>
      <c r="C165" s="97"/>
      <c r="D165" s="97"/>
      <c r="E165" s="29"/>
      <c r="F165" s="29"/>
      <c r="G165" s="67"/>
      <c r="H165" s="29"/>
      <c r="I165" s="97"/>
      <c r="J165" s="97"/>
      <c r="K165" s="29"/>
      <c r="L165" s="29"/>
      <c r="M165" s="67"/>
      <c r="N165" s="29"/>
      <c r="O165" s="30"/>
      <c r="P165" s="30"/>
      <c r="Q165" s="30"/>
    </row>
    <row r="166" spans="2:17" x14ac:dyDescent="0.3">
      <c r="B166" s="29"/>
      <c r="C166" s="97"/>
      <c r="D166" s="97"/>
      <c r="E166" s="29"/>
      <c r="F166" s="29"/>
      <c r="G166" s="67"/>
      <c r="H166" s="29"/>
      <c r="I166" s="97"/>
      <c r="J166" s="97"/>
      <c r="K166" s="29"/>
      <c r="L166" s="29"/>
      <c r="M166" s="67"/>
      <c r="N166" s="29"/>
      <c r="O166" s="30"/>
      <c r="P166" s="30"/>
      <c r="Q166" s="30"/>
    </row>
    <row r="167" spans="2:17" x14ac:dyDescent="0.3">
      <c r="B167" s="29"/>
      <c r="C167" s="97"/>
      <c r="D167" s="97"/>
      <c r="E167" s="29"/>
      <c r="F167" s="29"/>
      <c r="G167" s="67"/>
      <c r="H167" s="29"/>
      <c r="I167" s="97"/>
      <c r="J167" s="97"/>
      <c r="K167" s="29"/>
      <c r="L167" s="29"/>
      <c r="M167" s="67"/>
      <c r="N167" s="29"/>
      <c r="O167" s="30"/>
      <c r="P167" s="30"/>
      <c r="Q167" s="30"/>
    </row>
    <row r="168" spans="2:17" x14ac:dyDescent="0.3">
      <c r="B168" s="29"/>
      <c r="C168" s="97"/>
      <c r="D168" s="97"/>
      <c r="E168" s="29"/>
      <c r="F168" s="29"/>
      <c r="G168" s="67"/>
      <c r="H168" s="29"/>
      <c r="I168" s="97"/>
      <c r="J168" s="97"/>
      <c r="K168" s="29"/>
      <c r="L168" s="29"/>
      <c r="M168" s="67"/>
      <c r="N168" s="29"/>
      <c r="O168" s="30"/>
      <c r="P168" s="30"/>
      <c r="Q168" s="30"/>
    </row>
    <row r="169" spans="2:17" x14ac:dyDescent="0.3">
      <c r="B169" s="29"/>
      <c r="C169" s="97"/>
      <c r="D169" s="97"/>
      <c r="E169" s="29"/>
      <c r="F169" s="29"/>
      <c r="G169" s="67"/>
      <c r="H169" s="29"/>
      <c r="I169" s="97"/>
      <c r="J169" s="97"/>
      <c r="K169" s="29"/>
      <c r="L169" s="29"/>
      <c r="M169" s="67"/>
      <c r="N169" s="29"/>
      <c r="O169" s="30"/>
      <c r="P169" s="30"/>
      <c r="Q169" s="30"/>
    </row>
    <row r="170" spans="2:17" x14ac:dyDescent="0.3">
      <c r="B170" s="29"/>
      <c r="C170" s="97"/>
      <c r="D170" s="97"/>
      <c r="E170" s="29"/>
      <c r="F170" s="29"/>
      <c r="G170" s="67"/>
      <c r="H170" s="29"/>
      <c r="I170" s="97"/>
      <c r="J170" s="97"/>
      <c r="K170" s="29"/>
      <c r="L170" s="29"/>
      <c r="M170" s="67"/>
      <c r="N170" s="29"/>
      <c r="O170" s="30"/>
      <c r="P170" s="30"/>
      <c r="Q170" s="30"/>
    </row>
    <row r="171" spans="2:17" x14ac:dyDescent="0.3">
      <c r="B171" s="29"/>
      <c r="C171" s="97"/>
      <c r="D171" s="97"/>
      <c r="E171" s="29"/>
      <c r="F171" s="29"/>
      <c r="G171" s="67"/>
      <c r="H171" s="29"/>
      <c r="I171" s="97"/>
      <c r="J171" s="97"/>
      <c r="K171" s="29"/>
      <c r="L171" s="29"/>
      <c r="M171" s="67"/>
      <c r="N171" s="29"/>
      <c r="O171" s="30"/>
      <c r="P171" s="30"/>
      <c r="Q171" s="30"/>
    </row>
    <row r="172" spans="2:17" x14ac:dyDescent="0.3">
      <c r="B172" s="29"/>
      <c r="C172" s="97"/>
      <c r="D172" s="97"/>
      <c r="E172" s="29"/>
      <c r="F172" s="29"/>
      <c r="G172" s="67"/>
      <c r="H172" s="29"/>
      <c r="I172" s="97"/>
      <c r="J172" s="97"/>
      <c r="K172" s="29"/>
      <c r="L172" s="29"/>
      <c r="M172" s="67"/>
      <c r="N172" s="29"/>
      <c r="O172" s="30"/>
      <c r="P172" s="30"/>
      <c r="Q172" s="30"/>
    </row>
    <row r="173" spans="2:17" x14ac:dyDescent="0.3">
      <c r="B173" s="29"/>
      <c r="C173" s="97"/>
      <c r="D173" s="97"/>
      <c r="E173" s="29"/>
      <c r="F173" s="29"/>
      <c r="G173" s="67"/>
      <c r="H173" s="29"/>
      <c r="I173" s="97"/>
      <c r="J173" s="97"/>
      <c r="K173" s="29"/>
      <c r="L173" s="29"/>
      <c r="M173" s="67"/>
      <c r="N173" s="29"/>
      <c r="O173" s="30"/>
      <c r="P173" s="30"/>
      <c r="Q173" s="30"/>
    </row>
    <row r="174" spans="2:17" x14ac:dyDescent="0.3">
      <c r="B174" s="29"/>
      <c r="C174" s="97"/>
      <c r="D174" s="97"/>
      <c r="E174" s="29"/>
      <c r="F174" s="29"/>
      <c r="G174" s="67"/>
      <c r="H174" s="29"/>
      <c r="I174" s="97"/>
      <c r="J174" s="97"/>
      <c r="K174" s="29"/>
      <c r="L174" s="29"/>
      <c r="M174" s="67"/>
      <c r="N174" s="29"/>
      <c r="O174" s="30"/>
      <c r="P174" s="30"/>
      <c r="Q174" s="30"/>
    </row>
    <row r="175" spans="2:17" x14ac:dyDescent="0.3">
      <c r="B175" s="29"/>
      <c r="C175" s="97"/>
      <c r="D175" s="97"/>
      <c r="E175" s="29"/>
      <c r="F175" s="29"/>
      <c r="G175" s="67"/>
      <c r="H175" s="29"/>
      <c r="I175" s="97"/>
      <c r="J175" s="97"/>
      <c r="K175" s="29"/>
      <c r="L175" s="29"/>
      <c r="M175" s="67"/>
      <c r="N175" s="29"/>
      <c r="O175" s="30"/>
      <c r="P175" s="30"/>
      <c r="Q175" s="30"/>
    </row>
    <row r="176" spans="2:17" x14ac:dyDescent="0.3">
      <c r="B176" s="29"/>
      <c r="C176" s="97"/>
      <c r="D176" s="97"/>
      <c r="E176" s="29"/>
      <c r="F176" s="29"/>
      <c r="G176" s="67"/>
      <c r="H176" s="29"/>
      <c r="I176" s="97"/>
      <c r="J176" s="97"/>
      <c r="K176" s="29"/>
      <c r="L176" s="29"/>
      <c r="M176" s="67"/>
      <c r="N176" s="29"/>
      <c r="O176" s="30"/>
      <c r="P176" s="30"/>
      <c r="Q176" s="30"/>
    </row>
    <row r="177" spans="2:17" x14ac:dyDescent="0.3">
      <c r="B177" s="29"/>
      <c r="C177" s="97"/>
      <c r="D177" s="97"/>
      <c r="E177" s="29"/>
      <c r="F177" s="29"/>
      <c r="G177" s="67"/>
      <c r="H177" s="29"/>
      <c r="I177" s="97"/>
      <c r="J177" s="97"/>
      <c r="K177" s="29"/>
      <c r="L177" s="29"/>
      <c r="M177" s="67"/>
      <c r="N177" s="29"/>
      <c r="O177" s="30"/>
      <c r="P177" s="30"/>
      <c r="Q177" s="30"/>
    </row>
    <row r="178" spans="2:17" x14ac:dyDescent="0.3">
      <c r="B178" s="29"/>
      <c r="C178" s="97"/>
      <c r="D178" s="97"/>
      <c r="E178" s="29"/>
      <c r="F178" s="29"/>
      <c r="G178" s="67"/>
      <c r="H178" s="29"/>
      <c r="I178" s="97"/>
      <c r="J178" s="97"/>
      <c r="K178" s="29"/>
      <c r="L178" s="29"/>
      <c r="M178" s="67"/>
      <c r="N178" s="29"/>
      <c r="O178" s="30"/>
      <c r="P178" s="30"/>
      <c r="Q178" s="30"/>
    </row>
    <row r="179" spans="2:17" x14ac:dyDescent="0.3">
      <c r="B179" s="29"/>
      <c r="C179" s="97"/>
      <c r="D179" s="97"/>
      <c r="E179" s="29"/>
      <c r="F179" s="29"/>
      <c r="G179" s="67"/>
      <c r="H179" s="29"/>
      <c r="I179" s="97"/>
      <c r="J179" s="97"/>
      <c r="K179" s="29"/>
      <c r="L179" s="29"/>
      <c r="M179" s="67"/>
      <c r="N179" s="29"/>
      <c r="O179" s="30"/>
      <c r="P179" s="30"/>
      <c r="Q179" s="30"/>
    </row>
    <row r="180" spans="2:17" x14ac:dyDescent="0.3">
      <c r="B180" s="29"/>
      <c r="C180" s="97"/>
      <c r="D180" s="97"/>
      <c r="E180" s="29"/>
      <c r="F180" s="29"/>
      <c r="G180" s="67"/>
      <c r="H180" s="29"/>
      <c r="I180" s="97"/>
      <c r="J180" s="97"/>
      <c r="K180" s="29"/>
      <c r="L180" s="29"/>
      <c r="M180" s="67"/>
      <c r="N180" s="29"/>
      <c r="O180" s="30"/>
      <c r="P180" s="30"/>
      <c r="Q180" s="30"/>
    </row>
    <row r="181" spans="2:17" x14ac:dyDescent="0.3">
      <c r="B181" s="29"/>
      <c r="C181" s="97"/>
      <c r="D181" s="97"/>
      <c r="E181" s="29"/>
      <c r="F181" s="29"/>
      <c r="G181" s="67"/>
      <c r="H181" s="29"/>
      <c r="I181" s="97"/>
      <c r="J181" s="97"/>
      <c r="K181" s="29"/>
      <c r="L181" s="29"/>
      <c r="M181" s="67"/>
      <c r="N181" s="29"/>
      <c r="O181" s="30"/>
      <c r="P181" s="30"/>
      <c r="Q181" s="30"/>
    </row>
    <row r="182" spans="2:17" x14ac:dyDescent="0.3">
      <c r="B182" s="29"/>
      <c r="C182" s="97"/>
      <c r="D182" s="97"/>
      <c r="E182" s="29"/>
      <c r="F182" s="29"/>
      <c r="G182" s="67"/>
      <c r="H182" s="29"/>
      <c r="I182" s="97"/>
      <c r="J182" s="97"/>
      <c r="K182" s="29"/>
      <c r="L182" s="29"/>
      <c r="M182" s="67"/>
      <c r="N182" s="29"/>
      <c r="O182" s="30"/>
      <c r="P182" s="30"/>
      <c r="Q182" s="30"/>
    </row>
    <row r="183" spans="2:17" x14ac:dyDescent="0.3">
      <c r="B183" s="29"/>
      <c r="C183" s="97"/>
      <c r="D183" s="97"/>
      <c r="E183" s="29"/>
      <c r="F183" s="29"/>
      <c r="G183" s="67"/>
      <c r="H183" s="29"/>
      <c r="I183" s="97"/>
      <c r="J183" s="97"/>
      <c r="K183" s="29"/>
      <c r="L183" s="29"/>
      <c r="M183" s="67"/>
      <c r="N183" s="29"/>
      <c r="O183" s="30"/>
      <c r="P183" s="30"/>
      <c r="Q183" s="30"/>
    </row>
    <row r="184" spans="2:17" x14ac:dyDescent="0.3">
      <c r="B184" s="29"/>
      <c r="C184" s="97"/>
      <c r="D184" s="97"/>
      <c r="E184" s="29"/>
      <c r="F184" s="29"/>
      <c r="G184" s="67"/>
      <c r="H184" s="29"/>
      <c r="I184" s="97"/>
      <c r="J184" s="97"/>
      <c r="K184" s="29"/>
      <c r="L184" s="29"/>
      <c r="M184" s="67"/>
      <c r="N184" s="29"/>
      <c r="O184" s="30"/>
      <c r="P184" s="30"/>
      <c r="Q184" s="30"/>
    </row>
    <row r="185" spans="2:17" x14ac:dyDescent="0.3">
      <c r="B185" s="29"/>
      <c r="C185" s="97"/>
      <c r="D185" s="97"/>
      <c r="E185" s="29"/>
      <c r="F185" s="29"/>
      <c r="G185" s="67"/>
      <c r="H185" s="29"/>
      <c r="I185" s="97"/>
      <c r="J185" s="97"/>
      <c r="K185" s="29"/>
      <c r="L185" s="29"/>
      <c r="M185" s="67"/>
      <c r="N185" s="29"/>
      <c r="O185" s="30"/>
      <c r="P185" s="30"/>
      <c r="Q185" s="30"/>
    </row>
    <row r="186" spans="2:17" x14ac:dyDescent="0.3">
      <c r="B186" s="29"/>
      <c r="C186" s="97"/>
      <c r="D186" s="97"/>
      <c r="E186" s="29"/>
      <c r="F186" s="29"/>
      <c r="G186" s="67"/>
      <c r="H186" s="29"/>
      <c r="I186" s="97"/>
      <c r="J186" s="97"/>
      <c r="K186" s="29"/>
      <c r="L186" s="29"/>
      <c r="M186" s="67"/>
      <c r="N186" s="29"/>
      <c r="O186" s="30"/>
      <c r="P186" s="30"/>
      <c r="Q186" s="30"/>
    </row>
    <row r="187" spans="2:17" x14ac:dyDescent="0.3">
      <c r="B187" s="29"/>
      <c r="C187" s="97"/>
      <c r="D187" s="97"/>
      <c r="E187" s="29"/>
      <c r="F187" s="29"/>
      <c r="G187" s="67"/>
      <c r="H187" s="29"/>
      <c r="I187" s="97"/>
      <c r="J187" s="97"/>
      <c r="K187" s="29"/>
      <c r="L187" s="29"/>
      <c r="M187" s="67"/>
      <c r="N187" s="29"/>
      <c r="O187" s="30"/>
      <c r="P187" s="30"/>
      <c r="Q187" s="30"/>
    </row>
    <row r="188" spans="2:17" x14ac:dyDescent="0.3">
      <c r="B188" s="29"/>
      <c r="C188" s="97"/>
      <c r="D188" s="97"/>
      <c r="E188" s="29"/>
      <c r="F188" s="29"/>
      <c r="G188" s="67"/>
      <c r="H188" s="29"/>
      <c r="I188" s="97"/>
      <c r="J188" s="97"/>
      <c r="K188" s="29"/>
      <c r="L188" s="29"/>
      <c r="M188" s="67"/>
      <c r="N188" s="29"/>
      <c r="O188" s="30"/>
      <c r="P188" s="30"/>
      <c r="Q188" s="30"/>
    </row>
    <row r="189" spans="2:17" x14ac:dyDescent="0.3">
      <c r="B189" s="29"/>
      <c r="C189" s="97"/>
      <c r="D189" s="97"/>
      <c r="E189" s="29"/>
      <c r="F189" s="29"/>
      <c r="G189" s="67"/>
      <c r="H189" s="29"/>
      <c r="I189" s="97"/>
      <c r="J189" s="97"/>
      <c r="K189" s="29"/>
      <c r="L189" s="29"/>
      <c r="M189" s="67"/>
      <c r="N189" s="29"/>
      <c r="O189" s="30"/>
      <c r="P189" s="30"/>
      <c r="Q189" s="30"/>
    </row>
    <row r="190" spans="2:17" x14ac:dyDescent="0.3">
      <c r="B190" s="29"/>
      <c r="C190" s="97"/>
      <c r="D190" s="97"/>
      <c r="E190" s="29"/>
      <c r="F190" s="29"/>
      <c r="G190" s="67"/>
      <c r="H190" s="29"/>
      <c r="I190" s="97"/>
      <c r="J190" s="97"/>
      <c r="K190" s="29"/>
      <c r="L190" s="29"/>
      <c r="M190" s="67"/>
      <c r="N190" s="29"/>
      <c r="O190" s="30"/>
      <c r="P190" s="30"/>
      <c r="Q190" s="30"/>
    </row>
    <row r="191" spans="2:17" x14ac:dyDescent="0.3">
      <c r="B191" s="29"/>
      <c r="C191" s="97"/>
      <c r="D191" s="97"/>
      <c r="E191" s="29"/>
      <c r="F191" s="29"/>
      <c r="G191" s="67"/>
      <c r="H191" s="29"/>
      <c r="I191" s="97"/>
      <c r="J191" s="97"/>
      <c r="K191" s="29"/>
      <c r="L191" s="29"/>
      <c r="M191" s="67"/>
      <c r="N191" s="29"/>
      <c r="O191" s="30"/>
      <c r="P191" s="30"/>
      <c r="Q191" s="30"/>
    </row>
    <row r="192" spans="2:17" x14ac:dyDescent="0.3">
      <c r="B192" s="29"/>
      <c r="C192" s="97"/>
      <c r="D192" s="97"/>
      <c r="E192" s="29"/>
      <c r="F192" s="29"/>
      <c r="G192" s="67"/>
      <c r="H192" s="29"/>
      <c r="I192" s="97"/>
      <c r="J192" s="97"/>
      <c r="K192" s="29"/>
      <c r="L192" s="29"/>
      <c r="M192" s="67"/>
      <c r="N192" s="29"/>
      <c r="O192" s="30"/>
      <c r="P192" s="30"/>
      <c r="Q192" s="30"/>
    </row>
    <row r="193" spans="2:17" x14ac:dyDescent="0.3">
      <c r="B193" s="29"/>
      <c r="C193" s="97"/>
      <c r="D193" s="97"/>
      <c r="E193" s="29"/>
      <c r="F193" s="29"/>
      <c r="G193" s="67"/>
      <c r="H193" s="29"/>
      <c r="I193" s="97"/>
      <c r="J193" s="97"/>
      <c r="K193" s="29"/>
      <c r="L193" s="29"/>
      <c r="M193" s="67"/>
      <c r="N193" s="29"/>
      <c r="O193" s="30"/>
      <c r="P193" s="30"/>
      <c r="Q193" s="30"/>
    </row>
    <row r="194" spans="2:17" x14ac:dyDescent="0.3">
      <c r="B194" s="29"/>
      <c r="C194" s="97"/>
      <c r="D194" s="97"/>
      <c r="E194" s="29"/>
      <c r="F194" s="29"/>
      <c r="G194" s="67"/>
      <c r="H194" s="29"/>
      <c r="I194" s="97"/>
      <c r="J194" s="97"/>
      <c r="K194" s="29"/>
      <c r="L194" s="29"/>
      <c r="M194" s="67"/>
      <c r="N194" s="29"/>
      <c r="O194" s="30"/>
      <c r="P194" s="30"/>
      <c r="Q194" s="30"/>
    </row>
    <row r="195" spans="2:17" x14ac:dyDescent="0.3">
      <c r="B195" s="29"/>
      <c r="C195" s="97"/>
      <c r="D195" s="97"/>
      <c r="E195" s="29"/>
      <c r="F195" s="29"/>
      <c r="G195" s="67"/>
      <c r="H195" s="29"/>
      <c r="I195" s="97"/>
      <c r="J195" s="97"/>
      <c r="K195" s="29"/>
      <c r="L195" s="29"/>
      <c r="M195" s="67"/>
      <c r="N195" s="29"/>
      <c r="O195" s="30"/>
      <c r="P195" s="30"/>
      <c r="Q195" s="30"/>
    </row>
    <row r="196" spans="2:17" x14ac:dyDescent="0.3">
      <c r="B196" s="29"/>
      <c r="C196" s="97"/>
      <c r="D196" s="97"/>
      <c r="E196" s="29"/>
      <c r="F196" s="29"/>
      <c r="G196" s="67"/>
      <c r="H196" s="29"/>
      <c r="I196" s="97"/>
      <c r="J196" s="97"/>
      <c r="K196" s="29"/>
      <c r="L196" s="29"/>
      <c r="M196" s="67"/>
      <c r="N196" s="29"/>
      <c r="O196" s="30"/>
      <c r="P196" s="30"/>
      <c r="Q196" s="30"/>
    </row>
    <row r="197" spans="2:17" x14ac:dyDescent="0.3">
      <c r="B197" s="29"/>
      <c r="C197" s="97"/>
      <c r="D197" s="97"/>
      <c r="E197" s="29"/>
      <c r="F197" s="29"/>
      <c r="G197" s="67"/>
      <c r="H197" s="29"/>
      <c r="I197" s="97"/>
      <c r="J197" s="97"/>
      <c r="K197" s="29"/>
      <c r="L197" s="29"/>
      <c r="M197" s="67"/>
      <c r="N197" s="29"/>
      <c r="O197" s="30"/>
      <c r="P197" s="30"/>
      <c r="Q197" s="30"/>
    </row>
    <row r="198" spans="2:17" x14ac:dyDescent="0.3">
      <c r="B198" s="29"/>
      <c r="C198" s="97"/>
      <c r="D198" s="97"/>
      <c r="E198" s="29"/>
      <c r="F198" s="29"/>
      <c r="G198" s="67"/>
      <c r="H198" s="29"/>
      <c r="I198" s="97"/>
      <c r="J198" s="97"/>
      <c r="K198" s="29"/>
      <c r="L198" s="29"/>
      <c r="M198" s="67"/>
      <c r="N198" s="29"/>
      <c r="O198" s="30"/>
      <c r="P198" s="30"/>
      <c r="Q198" s="30"/>
    </row>
    <row r="199" spans="2:17" x14ac:dyDescent="0.3">
      <c r="B199" s="29"/>
      <c r="C199" s="97"/>
      <c r="D199" s="97"/>
      <c r="E199" s="29"/>
      <c r="F199" s="29"/>
      <c r="G199" s="67"/>
      <c r="H199" s="29"/>
      <c r="I199" s="97"/>
      <c r="J199" s="97"/>
      <c r="K199" s="29"/>
      <c r="L199" s="29"/>
      <c r="M199" s="67"/>
      <c r="N199" s="29"/>
      <c r="O199" s="30"/>
      <c r="P199" s="30"/>
      <c r="Q199" s="30"/>
    </row>
    <row r="200" spans="2:17" x14ac:dyDescent="0.3">
      <c r="B200" s="29"/>
      <c r="C200" s="97"/>
      <c r="D200" s="97"/>
      <c r="E200" s="29"/>
      <c r="F200" s="29"/>
      <c r="G200" s="67"/>
      <c r="H200" s="29"/>
      <c r="I200" s="97"/>
      <c r="J200" s="97"/>
      <c r="K200" s="29"/>
      <c r="L200" s="29"/>
      <c r="M200" s="67"/>
      <c r="N200" s="29"/>
      <c r="O200" s="30"/>
      <c r="P200" s="30"/>
      <c r="Q200" s="30"/>
    </row>
    <row r="201" spans="2:17" x14ac:dyDescent="0.3">
      <c r="B201" s="29"/>
      <c r="C201" s="97"/>
      <c r="D201" s="97"/>
      <c r="E201" s="29"/>
      <c r="F201" s="29"/>
      <c r="G201" s="67"/>
      <c r="H201" s="29"/>
      <c r="I201" s="97"/>
      <c r="J201" s="97"/>
      <c r="K201" s="29"/>
      <c r="L201" s="29"/>
      <c r="M201" s="67"/>
      <c r="N201" s="29"/>
      <c r="O201" s="30"/>
      <c r="P201" s="30"/>
      <c r="Q201" s="30"/>
    </row>
    <row r="202" spans="2:17" x14ac:dyDescent="0.3">
      <c r="B202" s="29"/>
      <c r="C202" s="97"/>
      <c r="D202" s="97"/>
      <c r="E202" s="29"/>
      <c r="F202" s="29"/>
      <c r="G202" s="67"/>
      <c r="H202" s="29"/>
      <c r="I202" s="97"/>
      <c r="J202" s="97"/>
      <c r="K202" s="29"/>
      <c r="L202" s="29"/>
      <c r="M202" s="67"/>
      <c r="N202" s="29"/>
      <c r="O202" s="30"/>
      <c r="P202" s="30"/>
      <c r="Q202" s="30"/>
    </row>
    <row r="203" spans="2:17" x14ac:dyDescent="0.3">
      <c r="B203" s="29"/>
      <c r="C203" s="97"/>
      <c r="D203" s="97"/>
      <c r="E203" s="29"/>
      <c r="F203" s="29"/>
      <c r="G203" s="67"/>
      <c r="H203" s="29"/>
      <c r="I203" s="97"/>
      <c r="J203" s="97"/>
      <c r="K203" s="29"/>
      <c r="L203" s="29"/>
      <c r="M203" s="67"/>
      <c r="N203" s="29"/>
      <c r="O203" s="30"/>
      <c r="P203" s="30"/>
      <c r="Q203" s="30"/>
    </row>
    <row r="204" spans="2:17" x14ac:dyDescent="0.3">
      <c r="B204" s="29"/>
      <c r="C204" s="97"/>
      <c r="D204" s="97"/>
      <c r="E204" s="29"/>
      <c r="F204" s="29"/>
      <c r="G204" s="67"/>
      <c r="H204" s="29"/>
      <c r="I204" s="97"/>
      <c r="J204" s="97"/>
      <c r="K204" s="29"/>
      <c r="L204" s="29"/>
      <c r="M204" s="67"/>
      <c r="N204" s="29"/>
      <c r="O204" s="30"/>
      <c r="P204" s="30"/>
      <c r="Q204" s="30"/>
    </row>
    <row r="205" spans="2:17" x14ac:dyDescent="0.3">
      <c r="B205" s="29"/>
      <c r="C205" s="97"/>
      <c r="D205" s="97"/>
      <c r="E205" s="29"/>
      <c r="F205" s="29"/>
      <c r="G205" s="67"/>
      <c r="H205" s="29"/>
      <c r="I205" s="97"/>
      <c r="J205" s="97"/>
      <c r="K205" s="29"/>
      <c r="L205" s="29"/>
      <c r="M205" s="67"/>
      <c r="N205" s="29"/>
      <c r="O205" s="30"/>
      <c r="P205" s="30"/>
      <c r="Q205" s="30"/>
    </row>
    <row r="206" spans="2:17" x14ac:dyDescent="0.3">
      <c r="B206" s="29"/>
      <c r="C206" s="97"/>
      <c r="D206" s="97"/>
      <c r="E206" s="29"/>
      <c r="F206" s="29"/>
      <c r="G206" s="67"/>
      <c r="H206" s="29"/>
      <c r="I206" s="97"/>
      <c r="J206" s="97"/>
      <c r="K206" s="29"/>
      <c r="L206" s="29"/>
      <c r="M206" s="67"/>
      <c r="N206" s="29"/>
      <c r="O206" s="30"/>
      <c r="P206" s="30"/>
      <c r="Q206" s="30"/>
    </row>
    <row r="207" spans="2:17" x14ac:dyDescent="0.3">
      <c r="B207" s="29"/>
      <c r="C207" s="97"/>
      <c r="D207" s="97"/>
      <c r="E207" s="29"/>
      <c r="F207" s="29"/>
      <c r="G207" s="67"/>
      <c r="H207" s="29"/>
      <c r="I207" s="97"/>
      <c r="J207" s="97"/>
      <c r="K207" s="29"/>
      <c r="L207" s="29"/>
      <c r="M207" s="67"/>
      <c r="N207" s="29"/>
      <c r="O207" s="30"/>
      <c r="P207" s="30"/>
      <c r="Q207" s="30"/>
    </row>
    <row r="208" spans="2:17" x14ac:dyDescent="0.3">
      <c r="B208" s="29"/>
      <c r="C208" s="97"/>
      <c r="D208" s="97"/>
      <c r="E208" s="29"/>
      <c r="F208" s="29"/>
      <c r="G208" s="67"/>
      <c r="H208" s="29"/>
      <c r="I208" s="97"/>
      <c r="J208" s="97"/>
      <c r="K208" s="29"/>
      <c r="L208" s="29"/>
      <c r="M208" s="67"/>
      <c r="N208" s="29"/>
      <c r="O208" s="30"/>
      <c r="P208" s="30"/>
      <c r="Q208" s="30"/>
    </row>
    <row r="209" spans="2:17" x14ac:dyDescent="0.3">
      <c r="B209" s="29"/>
      <c r="C209" s="97"/>
      <c r="D209" s="97"/>
      <c r="E209" s="29"/>
      <c r="F209" s="29"/>
      <c r="G209" s="67"/>
      <c r="H209" s="29"/>
      <c r="I209" s="97"/>
      <c r="J209" s="97"/>
      <c r="K209" s="29"/>
      <c r="L209" s="29"/>
      <c r="M209" s="67"/>
      <c r="N209" s="29"/>
      <c r="O209" s="30"/>
      <c r="P209" s="30"/>
      <c r="Q209" s="30"/>
    </row>
    <row r="210" spans="2:17" x14ac:dyDescent="0.3">
      <c r="B210" s="29"/>
      <c r="C210" s="97"/>
      <c r="D210" s="97"/>
      <c r="E210" s="29"/>
      <c r="F210" s="29"/>
      <c r="G210" s="67"/>
      <c r="H210" s="29"/>
      <c r="I210" s="97"/>
      <c r="J210" s="97"/>
      <c r="K210" s="29"/>
      <c r="L210" s="29"/>
      <c r="M210" s="67"/>
      <c r="N210" s="29"/>
      <c r="O210" s="30"/>
      <c r="P210" s="30"/>
      <c r="Q210" s="30"/>
    </row>
    <row r="211" spans="2:17" x14ac:dyDescent="0.3">
      <c r="B211" s="29"/>
      <c r="C211" s="97"/>
      <c r="D211" s="97"/>
      <c r="E211" s="29"/>
      <c r="F211" s="29"/>
      <c r="G211" s="67"/>
      <c r="H211" s="29"/>
      <c r="I211" s="97"/>
      <c r="J211" s="97"/>
      <c r="K211" s="29"/>
      <c r="L211" s="29"/>
      <c r="M211" s="67"/>
      <c r="N211" s="29"/>
      <c r="O211" s="30"/>
      <c r="P211" s="30"/>
      <c r="Q211" s="30"/>
    </row>
    <row r="212" spans="2:17" x14ac:dyDescent="0.3">
      <c r="B212" s="29"/>
      <c r="C212" s="97"/>
      <c r="D212" s="97"/>
      <c r="E212" s="29"/>
      <c r="F212" s="29"/>
      <c r="G212" s="67"/>
      <c r="H212" s="29"/>
      <c r="I212" s="97"/>
      <c r="J212" s="97"/>
      <c r="K212" s="29"/>
      <c r="L212" s="29"/>
      <c r="M212" s="67"/>
      <c r="N212" s="29"/>
      <c r="O212" s="30"/>
      <c r="P212" s="30"/>
      <c r="Q212" s="30"/>
    </row>
    <row r="213" spans="2:17" x14ac:dyDescent="0.3">
      <c r="B213" s="29"/>
      <c r="C213" s="97"/>
      <c r="D213" s="97"/>
      <c r="E213" s="29"/>
      <c r="F213" s="29"/>
      <c r="G213" s="67"/>
      <c r="H213" s="29"/>
      <c r="I213" s="97"/>
      <c r="J213" s="97"/>
      <c r="K213" s="29"/>
      <c r="L213" s="29"/>
      <c r="M213" s="67"/>
      <c r="N213" s="29"/>
      <c r="O213" s="30"/>
      <c r="P213" s="30"/>
      <c r="Q213" s="30"/>
    </row>
    <row r="214" spans="2:17" x14ac:dyDescent="0.3">
      <c r="B214" s="29"/>
      <c r="C214" s="97"/>
      <c r="D214" s="97"/>
      <c r="E214" s="29"/>
      <c r="F214" s="29"/>
      <c r="G214" s="67"/>
      <c r="H214" s="29"/>
      <c r="I214" s="97"/>
      <c r="J214" s="97"/>
      <c r="K214" s="29"/>
      <c r="L214" s="29"/>
      <c r="M214" s="67"/>
      <c r="N214" s="29"/>
      <c r="O214" s="30"/>
      <c r="P214" s="30"/>
      <c r="Q214" s="30"/>
    </row>
    <row r="215" spans="2:17" x14ac:dyDescent="0.3">
      <c r="B215" s="29"/>
      <c r="C215" s="97"/>
      <c r="D215" s="97"/>
      <c r="E215" s="29"/>
      <c r="F215" s="29"/>
      <c r="G215" s="67"/>
      <c r="H215" s="29"/>
      <c r="I215" s="97"/>
      <c r="J215" s="97"/>
      <c r="K215" s="29"/>
      <c r="L215" s="29"/>
      <c r="M215" s="67"/>
      <c r="N215" s="29"/>
      <c r="O215" s="30"/>
      <c r="P215" s="30"/>
      <c r="Q215" s="30"/>
    </row>
    <row r="216" spans="2:17" x14ac:dyDescent="0.3">
      <c r="B216" s="29"/>
      <c r="C216" s="97"/>
      <c r="D216" s="97"/>
      <c r="E216" s="29"/>
      <c r="F216" s="29"/>
      <c r="G216" s="67"/>
      <c r="H216" s="29"/>
      <c r="I216" s="97"/>
      <c r="J216" s="97"/>
      <c r="K216" s="29"/>
      <c r="L216" s="29"/>
      <c r="M216" s="67"/>
      <c r="N216" s="29"/>
      <c r="O216" s="30"/>
      <c r="P216" s="30"/>
      <c r="Q216" s="30"/>
    </row>
    <row r="217" spans="2:17" x14ac:dyDescent="0.3">
      <c r="B217" s="29"/>
      <c r="C217" s="97"/>
      <c r="D217" s="97"/>
      <c r="E217" s="29"/>
      <c r="F217" s="29"/>
      <c r="G217" s="67"/>
      <c r="H217" s="29"/>
      <c r="I217" s="97"/>
      <c r="J217" s="97"/>
      <c r="K217" s="29"/>
      <c r="L217" s="29"/>
      <c r="M217" s="67"/>
      <c r="N217" s="29"/>
      <c r="O217" s="30"/>
      <c r="P217" s="30"/>
      <c r="Q217" s="30"/>
    </row>
    <row r="218" spans="2:17" x14ac:dyDescent="0.3">
      <c r="B218" s="29"/>
      <c r="C218" s="97"/>
      <c r="D218" s="97"/>
      <c r="E218" s="29"/>
      <c r="F218" s="29"/>
      <c r="G218" s="67"/>
      <c r="H218" s="29"/>
      <c r="I218" s="97"/>
      <c r="J218" s="97"/>
      <c r="K218" s="29"/>
      <c r="L218" s="29"/>
      <c r="M218" s="67"/>
      <c r="N218" s="29"/>
      <c r="O218" s="30"/>
      <c r="P218" s="30"/>
      <c r="Q218" s="30"/>
    </row>
    <row r="219" spans="2:17" x14ac:dyDescent="0.3">
      <c r="B219" s="29"/>
      <c r="C219" s="97"/>
      <c r="D219" s="97"/>
      <c r="E219" s="29"/>
      <c r="F219" s="29"/>
      <c r="G219" s="67"/>
      <c r="H219" s="29"/>
      <c r="I219" s="97"/>
      <c r="J219" s="97"/>
      <c r="K219" s="29"/>
      <c r="L219" s="29"/>
      <c r="M219" s="67"/>
      <c r="N219" s="29"/>
      <c r="O219" s="30"/>
      <c r="P219" s="30"/>
      <c r="Q219" s="30"/>
    </row>
    <row r="220" spans="2:17" x14ac:dyDescent="0.3">
      <c r="B220" s="29"/>
      <c r="C220" s="97"/>
      <c r="D220" s="97"/>
      <c r="E220" s="29"/>
      <c r="F220" s="29"/>
      <c r="G220" s="67"/>
      <c r="H220" s="29"/>
      <c r="I220" s="97"/>
      <c r="J220" s="97"/>
      <c r="K220" s="29"/>
      <c r="L220" s="29"/>
      <c r="M220" s="67"/>
      <c r="N220" s="29"/>
      <c r="O220" s="30"/>
      <c r="P220" s="30"/>
      <c r="Q220" s="30"/>
    </row>
    <row r="221" spans="2:17" x14ac:dyDescent="0.3">
      <c r="B221" s="29"/>
      <c r="C221" s="97"/>
      <c r="D221" s="97"/>
      <c r="E221" s="29"/>
      <c r="F221" s="29"/>
      <c r="G221" s="67"/>
      <c r="H221" s="29"/>
      <c r="I221" s="97"/>
      <c r="J221" s="97"/>
      <c r="K221" s="29"/>
      <c r="L221" s="29"/>
      <c r="M221" s="67"/>
      <c r="N221" s="29"/>
      <c r="O221" s="30"/>
      <c r="P221" s="30"/>
      <c r="Q221" s="30"/>
    </row>
    <row r="222" spans="2:17" x14ac:dyDescent="0.3">
      <c r="B222" s="29"/>
      <c r="C222" s="97"/>
      <c r="D222" s="97"/>
      <c r="E222" s="29"/>
      <c r="F222" s="29"/>
      <c r="G222" s="67"/>
      <c r="H222" s="29"/>
      <c r="I222" s="97"/>
      <c r="J222" s="97"/>
      <c r="K222" s="29"/>
      <c r="L222" s="29"/>
      <c r="M222" s="67"/>
      <c r="N222" s="29"/>
      <c r="O222" s="30"/>
      <c r="P222" s="30"/>
      <c r="Q222" s="30"/>
    </row>
    <row r="223" spans="2:17" x14ac:dyDescent="0.3">
      <c r="B223" s="29"/>
      <c r="C223" s="97"/>
      <c r="D223" s="97"/>
      <c r="E223" s="29"/>
      <c r="F223" s="29"/>
      <c r="G223" s="67"/>
      <c r="H223" s="29"/>
      <c r="I223" s="97"/>
      <c r="J223" s="97"/>
      <c r="K223" s="29"/>
      <c r="L223" s="29"/>
      <c r="M223" s="67"/>
      <c r="N223" s="29"/>
      <c r="O223" s="30"/>
      <c r="P223" s="30"/>
      <c r="Q223" s="30"/>
    </row>
    <row r="224" spans="2:17" x14ac:dyDescent="0.3">
      <c r="B224" s="29"/>
      <c r="C224" s="97"/>
      <c r="D224" s="97"/>
      <c r="E224" s="29"/>
      <c r="F224" s="29"/>
      <c r="G224" s="67"/>
      <c r="H224" s="29"/>
      <c r="I224" s="97"/>
      <c r="J224" s="97"/>
      <c r="K224" s="29"/>
      <c r="L224" s="29"/>
      <c r="M224" s="67"/>
      <c r="N224" s="29"/>
      <c r="O224" s="30"/>
      <c r="P224" s="30"/>
      <c r="Q224" s="30"/>
    </row>
    <row r="225" spans="2:17" x14ac:dyDescent="0.3">
      <c r="B225" s="29"/>
      <c r="C225" s="97"/>
      <c r="D225" s="97"/>
      <c r="E225" s="29"/>
      <c r="F225" s="29"/>
      <c r="G225" s="67"/>
      <c r="H225" s="29"/>
      <c r="I225" s="97"/>
      <c r="J225" s="97"/>
      <c r="K225" s="29"/>
      <c r="L225" s="29"/>
      <c r="M225" s="67"/>
      <c r="N225" s="29"/>
      <c r="O225" s="30"/>
      <c r="P225" s="30"/>
      <c r="Q225" s="30"/>
    </row>
    <row r="226" spans="2:17" x14ac:dyDescent="0.3">
      <c r="B226" s="29"/>
      <c r="C226" s="97"/>
      <c r="D226" s="97"/>
      <c r="E226" s="29"/>
      <c r="F226" s="29"/>
      <c r="G226" s="67"/>
      <c r="H226" s="29"/>
      <c r="I226" s="97"/>
      <c r="J226" s="97"/>
      <c r="K226" s="29"/>
      <c r="L226" s="29"/>
      <c r="M226" s="67"/>
      <c r="N226" s="29"/>
      <c r="O226" s="30"/>
      <c r="P226" s="30"/>
      <c r="Q226" s="30"/>
    </row>
    <row r="227" spans="2:17" x14ac:dyDescent="0.3">
      <c r="B227" s="29"/>
      <c r="C227" s="97"/>
      <c r="D227" s="97"/>
      <c r="E227" s="29"/>
      <c r="F227" s="29"/>
      <c r="G227" s="67"/>
      <c r="H227" s="29"/>
      <c r="I227" s="97"/>
      <c r="J227" s="97"/>
      <c r="K227" s="29"/>
      <c r="L227" s="29"/>
      <c r="M227" s="67"/>
      <c r="N227" s="29"/>
      <c r="O227" s="30"/>
      <c r="P227" s="30"/>
      <c r="Q227" s="30"/>
    </row>
    <row r="228" spans="2:17" x14ac:dyDescent="0.3">
      <c r="B228" s="29"/>
      <c r="C228" s="97"/>
      <c r="D228" s="97"/>
      <c r="E228" s="29"/>
      <c r="F228" s="29"/>
      <c r="G228" s="67"/>
      <c r="H228" s="29"/>
      <c r="I228" s="97"/>
      <c r="J228" s="97"/>
      <c r="K228" s="29"/>
      <c r="L228" s="29"/>
      <c r="M228" s="67"/>
      <c r="N228" s="29"/>
      <c r="O228" s="30"/>
      <c r="P228" s="30"/>
      <c r="Q228" s="30"/>
    </row>
    <row r="229" spans="2:17" x14ac:dyDescent="0.3">
      <c r="B229" s="29"/>
      <c r="C229" s="97"/>
      <c r="D229" s="97"/>
      <c r="E229" s="29"/>
      <c r="F229" s="29"/>
      <c r="G229" s="67"/>
      <c r="H229" s="29"/>
      <c r="I229" s="97"/>
      <c r="J229" s="97"/>
      <c r="K229" s="29"/>
      <c r="L229" s="29"/>
      <c r="M229" s="67"/>
      <c r="N229" s="29"/>
      <c r="O229" s="30"/>
      <c r="P229" s="30"/>
      <c r="Q229" s="30"/>
    </row>
    <row r="230" spans="2:17" x14ac:dyDescent="0.3">
      <c r="B230" s="29"/>
      <c r="C230" s="97"/>
      <c r="D230" s="97"/>
      <c r="E230" s="29"/>
      <c r="F230" s="29"/>
      <c r="G230" s="67"/>
      <c r="H230" s="29"/>
      <c r="I230" s="97"/>
      <c r="J230" s="97"/>
      <c r="K230" s="29"/>
      <c r="L230" s="29"/>
      <c r="M230" s="67"/>
      <c r="N230" s="29"/>
      <c r="O230" s="30"/>
      <c r="P230" s="30"/>
      <c r="Q230" s="30"/>
    </row>
    <row r="231" spans="2:17" x14ac:dyDescent="0.3">
      <c r="B231" s="29"/>
      <c r="C231" s="97"/>
      <c r="D231" s="97"/>
      <c r="E231" s="29"/>
      <c r="F231" s="29"/>
      <c r="G231" s="67"/>
      <c r="H231" s="29"/>
      <c r="I231" s="97"/>
      <c r="J231" s="97"/>
      <c r="K231" s="29"/>
      <c r="L231" s="29"/>
      <c r="M231" s="67"/>
      <c r="N231" s="29"/>
      <c r="O231" s="30"/>
      <c r="P231" s="30"/>
      <c r="Q231" s="30"/>
    </row>
    <row r="232" spans="2:17" x14ac:dyDescent="0.3">
      <c r="B232" s="29"/>
      <c r="C232" s="97"/>
      <c r="D232" s="97"/>
      <c r="E232" s="29"/>
      <c r="F232" s="29"/>
      <c r="G232" s="67"/>
      <c r="H232" s="29"/>
      <c r="I232" s="97"/>
      <c r="J232" s="97"/>
      <c r="K232" s="29"/>
      <c r="L232" s="29"/>
      <c r="M232" s="67"/>
      <c r="N232" s="29"/>
      <c r="O232" s="30"/>
      <c r="P232" s="30"/>
      <c r="Q232" s="30"/>
    </row>
    <row r="233" spans="2:17" x14ac:dyDescent="0.3">
      <c r="B233" s="29"/>
      <c r="C233" s="97"/>
      <c r="D233" s="97"/>
      <c r="E233" s="29"/>
      <c r="F233" s="29"/>
      <c r="G233" s="67"/>
      <c r="H233" s="29"/>
      <c r="I233" s="97"/>
      <c r="J233" s="97"/>
      <c r="K233" s="29"/>
      <c r="L233" s="29"/>
      <c r="M233" s="67"/>
      <c r="N233" s="29"/>
      <c r="O233" s="30"/>
      <c r="P233" s="30"/>
      <c r="Q233" s="30"/>
    </row>
    <row r="234" spans="2:17" x14ac:dyDescent="0.3">
      <c r="B234" s="29"/>
      <c r="C234" s="97"/>
      <c r="D234" s="97"/>
      <c r="E234" s="29"/>
      <c r="F234" s="29"/>
      <c r="G234" s="67"/>
      <c r="H234" s="29"/>
      <c r="I234" s="97"/>
      <c r="J234" s="97"/>
      <c r="K234" s="29"/>
      <c r="L234" s="29"/>
      <c r="M234" s="67"/>
      <c r="N234" s="29"/>
      <c r="O234" s="30"/>
      <c r="P234" s="30"/>
      <c r="Q234" s="30"/>
    </row>
    <row r="235" spans="2:17" x14ac:dyDescent="0.3">
      <c r="B235" s="29"/>
      <c r="C235" s="97"/>
      <c r="D235" s="97"/>
      <c r="E235" s="29"/>
      <c r="F235" s="29"/>
      <c r="G235" s="67"/>
      <c r="H235" s="29"/>
      <c r="I235" s="97"/>
      <c r="J235" s="97"/>
      <c r="K235" s="29"/>
      <c r="L235" s="29"/>
      <c r="M235" s="67"/>
      <c r="N235" s="29"/>
      <c r="O235" s="30"/>
      <c r="P235" s="30"/>
      <c r="Q235" s="30"/>
    </row>
    <row r="236" spans="2:17" x14ac:dyDescent="0.3">
      <c r="B236" s="29"/>
      <c r="C236" s="97"/>
      <c r="D236" s="97"/>
      <c r="E236" s="29"/>
      <c r="F236" s="29"/>
      <c r="G236" s="67"/>
      <c r="H236" s="29"/>
      <c r="I236" s="97"/>
      <c r="J236" s="97"/>
      <c r="K236" s="29"/>
      <c r="L236" s="29"/>
      <c r="M236" s="67"/>
      <c r="N236" s="29"/>
      <c r="O236" s="30"/>
      <c r="P236" s="30"/>
      <c r="Q236" s="30"/>
    </row>
    <row r="237" spans="2:17" x14ac:dyDescent="0.3">
      <c r="B237" s="29"/>
      <c r="C237" s="97"/>
      <c r="D237" s="97"/>
      <c r="E237" s="29"/>
      <c r="F237" s="29"/>
      <c r="G237" s="67"/>
      <c r="H237" s="29"/>
      <c r="I237" s="97"/>
      <c r="J237" s="97"/>
      <c r="K237" s="29"/>
      <c r="L237" s="29"/>
      <c r="M237" s="67"/>
      <c r="N237" s="29"/>
      <c r="O237" s="30"/>
      <c r="P237" s="30"/>
      <c r="Q237" s="30"/>
    </row>
    <row r="238" spans="2:17" x14ac:dyDescent="0.3">
      <c r="B238" s="29"/>
      <c r="C238" s="97"/>
      <c r="D238" s="97"/>
      <c r="E238" s="29"/>
      <c r="F238" s="29"/>
      <c r="G238" s="67"/>
      <c r="H238" s="29"/>
      <c r="I238" s="97"/>
      <c r="J238" s="97"/>
      <c r="K238" s="29"/>
      <c r="L238" s="29"/>
      <c r="M238" s="67"/>
      <c r="N238" s="29"/>
      <c r="O238" s="30"/>
      <c r="P238" s="30"/>
      <c r="Q238" s="30"/>
    </row>
    <row r="239" spans="2:17" x14ac:dyDescent="0.3">
      <c r="B239" s="29"/>
      <c r="C239" s="97"/>
      <c r="D239" s="97"/>
      <c r="E239" s="29"/>
      <c r="F239" s="29"/>
      <c r="G239" s="67"/>
      <c r="H239" s="29"/>
      <c r="I239" s="97"/>
      <c r="J239" s="97"/>
      <c r="K239" s="29"/>
      <c r="L239" s="29"/>
      <c r="M239" s="67"/>
      <c r="N239" s="29"/>
      <c r="O239" s="30"/>
      <c r="P239" s="30"/>
      <c r="Q239" s="30"/>
    </row>
    <row r="240" spans="2:17" x14ac:dyDescent="0.3">
      <c r="B240" s="29"/>
      <c r="C240" s="97"/>
      <c r="D240" s="97"/>
      <c r="E240" s="29"/>
      <c r="F240" s="29"/>
      <c r="G240" s="67"/>
      <c r="H240" s="29"/>
      <c r="I240" s="97"/>
      <c r="J240" s="97"/>
      <c r="K240" s="29"/>
      <c r="L240" s="29"/>
      <c r="M240" s="67"/>
      <c r="N240" s="29"/>
      <c r="O240" s="30"/>
      <c r="P240" s="30"/>
      <c r="Q240" s="30"/>
    </row>
    <row r="241" spans="2:17" x14ac:dyDescent="0.3">
      <c r="B241" s="29"/>
      <c r="C241" s="97"/>
      <c r="D241" s="97"/>
      <c r="E241" s="29"/>
      <c r="F241" s="29"/>
      <c r="G241" s="67"/>
      <c r="H241" s="29"/>
      <c r="I241" s="97"/>
      <c r="J241" s="97"/>
      <c r="K241" s="29"/>
      <c r="L241" s="29"/>
      <c r="M241" s="67"/>
      <c r="N241" s="29"/>
      <c r="O241" s="30"/>
      <c r="P241" s="30"/>
      <c r="Q241" s="30"/>
    </row>
    <row r="242" spans="2:17" x14ac:dyDescent="0.3">
      <c r="B242" s="29"/>
      <c r="C242" s="97"/>
      <c r="D242" s="97"/>
      <c r="E242" s="29"/>
      <c r="F242" s="29"/>
      <c r="G242" s="67"/>
      <c r="H242" s="29"/>
      <c r="I242" s="97"/>
      <c r="J242" s="97"/>
      <c r="K242" s="29"/>
      <c r="L242" s="29"/>
      <c r="M242" s="67"/>
      <c r="N242" s="29"/>
      <c r="O242" s="30"/>
      <c r="P242" s="30"/>
      <c r="Q242" s="30"/>
    </row>
    <row r="243" spans="2:17" x14ac:dyDescent="0.3">
      <c r="B243" s="29"/>
      <c r="C243" s="97"/>
      <c r="D243" s="97"/>
      <c r="E243" s="29"/>
      <c r="F243" s="29"/>
      <c r="G243" s="67"/>
      <c r="H243" s="29"/>
      <c r="I243" s="97"/>
      <c r="J243" s="97"/>
      <c r="K243" s="29"/>
      <c r="L243" s="29"/>
      <c r="M243" s="67"/>
      <c r="N243" s="29"/>
      <c r="O243" s="30"/>
      <c r="P243" s="30"/>
      <c r="Q243" s="30"/>
    </row>
    <row r="244" spans="2:17" x14ac:dyDescent="0.3">
      <c r="B244" s="29"/>
      <c r="C244" s="97"/>
      <c r="D244" s="97"/>
      <c r="E244" s="29"/>
      <c r="F244" s="29"/>
      <c r="G244" s="67"/>
      <c r="H244" s="29"/>
      <c r="I244" s="97"/>
      <c r="J244" s="97"/>
      <c r="K244" s="29"/>
      <c r="L244" s="29"/>
      <c r="M244" s="67"/>
      <c r="N244" s="29"/>
      <c r="O244" s="30"/>
      <c r="P244" s="30"/>
      <c r="Q244" s="30"/>
    </row>
    <row r="245" spans="2:17" x14ac:dyDescent="0.3">
      <c r="B245" s="29"/>
      <c r="C245" s="97"/>
      <c r="D245" s="97"/>
      <c r="E245" s="29"/>
      <c r="F245" s="29"/>
      <c r="G245" s="67"/>
      <c r="H245" s="29"/>
      <c r="I245" s="97"/>
      <c r="J245" s="97"/>
      <c r="K245" s="29"/>
      <c r="L245" s="29"/>
      <c r="M245" s="67"/>
      <c r="N245" s="29"/>
      <c r="O245" s="30"/>
      <c r="P245" s="30"/>
      <c r="Q245" s="30"/>
    </row>
    <row r="246" spans="2:17" x14ac:dyDescent="0.3">
      <c r="B246" s="29"/>
      <c r="C246" s="97"/>
      <c r="D246" s="97"/>
      <c r="E246" s="29"/>
      <c r="F246" s="29"/>
      <c r="G246" s="67"/>
      <c r="H246" s="29"/>
      <c r="I246" s="97"/>
      <c r="J246" s="97"/>
      <c r="K246" s="29"/>
      <c r="L246" s="29"/>
      <c r="M246" s="67"/>
      <c r="N246" s="29"/>
      <c r="O246" s="30"/>
      <c r="P246" s="30"/>
      <c r="Q246" s="30"/>
    </row>
    <row r="247" spans="2:17" x14ac:dyDescent="0.3">
      <c r="B247" s="29"/>
      <c r="C247" s="97"/>
      <c r="D247" s="97"/>
      <c r="E247" s="29"/>
      <c r="F247" s="29"/>
      <c r="G247" s="67"/>
      <c r="H247" s="29"/>
      <c r="I247" s="97"/>
      <c r="J247" s="97"/>
      <c r="K247" s="29"/>
      <c r="L247" s="29"/>
      <c r="M247" s="67"/>
      <c r="N247" s="29"/>
      <c r="O247" s="30"/>
      <c r="P247" s="30"/>
      <c r="Q247" s="30"/>
    </row>
  </sheetData>
  <mergeCells count="5">
    <mergeCell ref="A2:N2"/>
    <mergeCell ref="B5:G5"/>
    <mergeCell ref="H5:M5"/>
    <mergeCell ref="B24:G24"/>
    <mergeCell ref="H24:M24"/>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14">
    <tabColor indexed="12"/>
    <outlinePr applyStyles="1" summaryBelow="0"/>
    <pageSetUpPr fitToPage="1"/>
  </sheetPr>
  <dimension ref="A2:U232"/>
  <sheetViews>
    <sheetView workbookViewId="0">
      <selection activeCell="A76" sqref="A76"/>
    </sheetView>
  </sheetViews>
  <sheetFormatPr defaultColWidth="9.109375" defaultRowHeight="13.8" outlineLevelRow="3" x14ac:dyDescent="0.3"/>
  <cols>
    <col min="1" max="1" width="81.44140625" style="108" customWidth="1"/>
    <col min="2" max="3" width="14.33203125" style="27" customWidth="1"/>
    <col min="4" max="4" width="15.44140625" style="27" customWidth="1"/>
    <col min="5" max="5" width="10.33203125" style="76" customWidth="1"/>
    <col min="6" max="6" width="8.88671875" style="26" hidden="1" customWidth="1"/>
    <col min="7" max="7" width="9.109375" style="26" customWidth="1"/>
    <col min="8" max="16384" width="9.109375" style="26"/>
  </cols>
  <sheetData>
    <row r="2" spans="1:21" ht="36.6" customHeight="1" x14ac:dyDescent="0.35">
      <c r="A2" s="4" t="str">
        <f>DEBT_AS_OF_DATE</f>
        <v>Державний та гарантований державою борг України
станом на 31.08.2026</v>
      </c>
      <c r="B2" s="3"/>
      <c r="C2" s="3"/>
      <c r="D2" s="3"/>
      <c r="E2" s="3"/>
      <c r="F2" s="30"/>
      <c r="G2" s="30"/>
      <c r="H2" s="30"/>
      <c r="I2" s="30"/>
      <c r="J2" s="30"/>
      <c r="K2" s="30"/>
      <c r="L2" s="30"/>
      <c r="M2" s="30"/>
      <c r="N2" s="30"/>
      <c r="O2" s="30"/>
      <c r="P2" s="30"/>
      <c r="Q2" s="30"/>
      <c r="R2" s="30"/>
      <c r="S2" s="30"/>
      <c r="T2" s="30"/>
      <c r="U2" s="30"/>
    </row>
    <row r="3" spans="1:21" ht="18" x14ac:dyDescent="0.35">
      <c r="A3" s="1" t="str">
        <f>BY_CREDITOR_TYPE</f>
        <v>(за типом кредитора)</v>
      </c>
      <c r="B3" s="1"/>
      <c r="C3" s="1"/>
      <c r="D3" s="1"/>
      <c r="E3" s="1"/>
    </row>
    <row r="4" spans="1:21" x14ac:dyDescent="0.3">
      <c r="B4" s="29"/>
      <c r="C4" s="29"/>
      <c r="D4" s="29"/>
      <c r="E4" s="67"/>
      <c r="F4" s="30"/>
      <c r="G4" s="30"/>
      <c r="H4" s="30"/>
      <c r="I4" s="30"/>
      <c r="J4" s="30"/>
      <c r="K4" s="30"/>
      <c r="L4" s="30"/>
      <c r="M4" s="30"/>
      <c r="N4" s="30"/>
      <c r="O4" s="30"/>
      <c r="P4" s="30"/>
      <c r="Q4" s="30"/>
      <c r="R4" s="30"/>
      <c r="S4" s="30"/>
    </row>
    <row r="5" spans="1:21" s="31" customFormat="1" x14ac:dyDescent="0.3">
      <c r="B5" s="32"/>
      <c r="C5" s="32"/>
      <c r="D5" s="32"/>
      <c r="E5" s="31" t="str">
        <f>VALVAL</f>
        <v>млрд. одиниць</v>
      </c>
    </row>
    <row r="6" spans="1:21" s="18" customFormat="1" x14ac:dyDescent="0.25">
      <c r="A6" s="16"/>
      <c r="B6" s="72" t="str">
        <f>USD</f>
        <v>дол. США</v>
      </c>
      <c r="C6" s="72" t="str">
        <f>EUR</f>
        <v>євро</v>
      </c>
      <c r="D6" s="72" t="str">
        <f>UAH</f>
        <v>грн.</v>
      </c>
      <c r="E6" s="73" t="s">
        <v>0</v>
      </c>
      <c r="F6" s="61" t="s">
        <v>92</v>
      </c>
    </row>
    <row r="7" spans="1:21" s="19" customFormat="1" ht="15.6" x14ac:dyDescent="0.25">
      <c r="A7" s="155" t="str">
        <f>DEBT_TOTAL</f>
        <v>Загальна сума державного та гарантованого державою боргу</v>
      </c>
      <c r="B7" s="132">
        <f>B$8+B$20</f>
        <v>215.55073598984998</v>
      </c>
      <c r="C7" s="132">
        <f>C$8+C$20</f>
        <v>185.09674296469998</v>
      </c>
      <c r="D7" s="132">
        <f>D$8+D$20</f>
        <v>9602.8930637009707</v>
      </c>
      <c r="E7" s="133">
        <f>E$8+E$20</f>
        <v>0.99999999999999989</v>
      </c>
      <c r="F7" s="36" t="s">
        <v>110</v>
      </c>
    </row>
    <row r="8" spans="1:21" s="20" customFormat="1" ht="14.4" outlineLevel="1" x14ac:dyDescent="0.25">
      <c r="A8" s="204" t="s">
        <v>1</v>
      </c>
      <c r="B8" s="205">
        <f>B$9+B$12</f>
        <v>209.76376640346999</v>
      </c>
      <c r="C8" s="205">
        <f>C$9+C$12</f>
        <v>180.12738288729997</v>
      </c>
      <c r="D8" s="205">
        <f>D$9+D$12</f>
        <v>9345.0806751427208</v>
      </c>
      <c r="E8" s="206">
        <f>E$9+E$12</f>
        <v>0.97315299999999993</v>
      </c>
      <c r="F8" s="105" t="s">
        <v>110</v>
      </c>
    </row>
    <row r="9" spans="1:21" s="21" customFormat="1" ht="14.4" outlineLevel="2" x14ac:dyDescent="0.25">
      <c r="A9" s="109" t="s">
        <v>3</v>
      </c>
      <c r="B9" s="110">
        <f>SUM(B$10:B$11)</f>
        <v>44.968409390170002</v>
      </c>
      <c r="C9" s="110">
        <f>SUM(C$10:C$11)</f>
        <v>38.615067010400004</v>
      </c>
      <c r="D9" s="110">
        <f>SUM(D$10:D$11)</f>
        <v>2003.3651225245601</v>
      </c>
      <c r="E9" s="111">
        <f>SUM(E$10:E$11)</f>
        <v>0.208621</v>
      </c>
      <c r="F9" s="106" t="s">
        <v>142</v>
      </c>
    </row>
    <row r="10" spans="1:21" s="42" customFormat="1" ht="14.4" outlineLevel="3" x14ac:dyDescent="0.25">
      <c r="A10" s="222" t="s">
        <v>4</v>
      </c>
      <c r="B10" s="223">
        <v>44.940207709740001</v>
      </c>
      <c r="C10" s="223">
        <v>38.590849792260002</v>
      </c>
      <c r="D10" s="223">
        <v>2002.1087235605</v>
      </c>
      <c r="E10" s="224">
        <v>0.20849000000000001</v>
      </c>
      <c r="F10" s="107" t="s">
        <v>112</v>
      </c>
    </row>
    <row r="11" spans="1:21" ht="14.4" outlineLevel="3" x14ac:dyDescent="0.3">
      <c r="A11" s="228" t="s">
        <v>20</v>
      </c>
      <c r="B11" s="229">
        <v>2.8201680430000001E-2</v>
      </c>
      <c r="C11" s="229">
        <v>2.421721814E-2</v>
      </c>
      <c r="D11" s="229">
        <v>1.25639896406</v>
      </c>
      <c r="E11" s="230">
        <v>1.3100000000000001E-4</v>
      </c>
      <c r="F11" s="30"/>
      <c r="G11" s="30"/>
      <c r="H11" s="30"/>
      <c r="I11" s="30"/>
      <c r="J11" s="30"/>
      <c r="K11" s="30"/>
      <c r="L11" s="30"/>
      <c r="M11" s="30"/>
      <c r="N11" s="30"/>
      <c r="O11" s="30"/>
      <c r="P11" s="30"/>
      <c r="Q11" s="30"/>
      <c r="R11" s="30"/>
      <c r="S11" s="30"/>
    </row>
    <row r="12" spans="1:21" ht="14.4" outlineLevel="2" x14ac:dyDescent="0.3">
      <c r="A12" s="231" t="s">
        <v>22</v>
      </c>
      <c r="B12" s="217">
        <f>SUM(B$13:B$19)</f>
        <v>164.79535701329999</v>
      </c>
      <c r="C12" s="217">
        <f>SUM(C$13:C$19)</f>
        <v>141.51231587689998</v>
      </c>
      <c r="D12" s="217">
        <f>SUM(D$13:D$19)</f>
        <v>7341.7155526181605</v>
      </c>
      <c r="E12" s="218">
        <f>SUM(E$13:E$19)</f>
        <v>0.76453199999999999</v>
      </c>
      <c r="F12" s="30"/>
      <c r="G12" s="30"/>
      <c r="H12" s="30"/>
      <c r="I12" s="30"/>
      <c r="J12" s="30"/>
      <c r="K12" s="30"/>
      <c r="L12" s="30"/>
      <c r="M12" s="30"/>
      <c r="N12" s="30"/>
      <c r="O12" s="30"/>
      <c r="P12" s="30"/>
      <c r="Q12" s="30"/>
      <c r="R12" s="30"/>
      <c r="S12" s="30"/>
    </row>
    <row r="13" spans="1:21" ht="28.8" outlineLevel="3" x14ac:dyDescent="0.3">
      <c r="A13" s="232" t="s">
        <v>23</v>
      </c>
      <c r="B13" s="226">
        <v>127.84683503487</v>
      </c>
      <c r="C13" s="226">
        <v>109.78404993445</v>
      </c>
      <c r="D13" s="226">
        <v>5695.6404242189501</v>
      </c>
      <c r="E13" s="227">
        <v>0.59311700000000001</v>
      </c>
      <c r="F13" s="30"/>
      <c r="G13" s="30"/>
      <c r="H13" s="30"/>
      <c r="I13" s="30"/>
      <c r="J13" s="30"/>
      <c r="K13" s="30"/>
      <c r="L13" s="30"/>
      <c r="M13" s="30"/>
      <c r="N13" s="30"/>
      <c r="O13" s="30"/>
      <c r="P13" s="30"/>
      <c r="Q13" s="30"/>
      <c r="R13" s="30"/>
      <c r="S13" s="30"/>
    </row>
    <row r="14" spans="1:21" ht="43.2" outlineLevel="3" x14ac:dyDescent="0.3">
      <c r="A14" s="232" t="s">
        <v>34</v>
      </c>
      <c r="B14" s="226">
        <v>8.0544491854799993</v>
      </c>
      <c r="C14" s="226">
        <v>6.91647979658</v>
      </c>
      <c r="D14" s="226">
        <v>358.82973843775</v>
      </c>
      <c r="E14" s="227">
        <v>3.7366999999999997E-2</v>
      </c>
      <c r="F14" s="30"/>
      <c r="G14" s="30"/>
      <c r="H14" s="30"/>
      <c r="I14" s="30"/>
      <c r="J14" s="30"/>
      <c r="K14" s="30"/>
      <c r="L14" s="30"/>
      <c r="M14" s="30"/>
      <c r="N14" s="30"/>
      <c r="O14" s="30"/>
      <c r="P14" s="30"/>
      <c r="Q14" s="30"/>
      <c r="R14" s="30"/>
      <c r="S14" s="30"/>
    </row>
    <row r="15" spans="1:21" ht="28.8" outlineLevel="3" x14ac:dyDescent="0.3">
      <c r="A15" s="232" t="s">
        <v>45</v>
      </c>
      <c r="B15" s="226">
        <v>0.60585586000000002</v>
      </c>
      <c r="C15" s="226">
        <v>0.52025777539999996</v>
      </c>
      <c r="D15" s="226">
        <v>26.99118149093</v>
      </c>
      <c r="E15" s="227">
        <v>2.8110000000000001E-3</v>
      </c>
      <c r="F15" s="30"/>
      <c r="G15" s="30"/>
      <c r="H15" s="30"/>
      <c r="I15" s="30"/>
      <c r="J15" s="30"/>
      <c r="K15" s="30"/>
      <c r="L15" s="30"/>
      <c r="M15" s="30"/>
      <c r="N15" s="30"/>
      <c r="O15" s="30"/>
      <c r="P15" s="30"/>
      <c r="Q15" s="30"/>
      <c r="R15" s="30"/>
      <c r="S15" s="30"/>
    </row>
    <row r="16" spans="1:21" ht="28.8" outlineLevel="3" x14ac:dyDescent="0.3">
      <c r="A16" s="232" t="s">
        <v>47</v>
      </c>
      <c r="B16" s="226">
        <v>2.21710125811</v>
      </c>
      <c r="C16" s="226">
        <v>1.9038590604300001</v>
      </c>
      <c r="D16" s="226">
        <v>98.772969598670002</v>
      </c>
      <c r="E16" s="227">
        <v>1.0286E-2</v>
      </c>
      <c r="F16" s="30"/>
      <c r="G16" s="30"/>
      <c r="H16" s="30"/>
      <c r="I16" s="30"/>
      <c r="J16" s="30"/>
      <c r="K16" s="30"/>
      <c r="L16" s="30"/>
      <c r="M16" s="30"/>
      <c r="N16" s="30"/>
      <c r="O16" s="30"/>
      <c r="P16" s="30"/>
      <c r="Q16" s="30"/>
      <c r="R16" s="30"/>
      <c r="S16" s="30"/>
    </row>
    <row r="17" spans="1:19" ht="28.8" outlineLevel="3" x14ac:dyDescent="0.3">
      <c r="A17" s="232" t="s">
        <v>54</v>
      </c>
      <c r="B17" s="226">
        <v>18.750640004000001</v>
      </c>
      <c r="C17" s="226">
        <v>16.101463895790001</v>
      </c>
      <c r="D17" s="226">
        <v>835.35038749821001</v>
      </c>
      <c r="E17" s="227">
        <v>8.6988999999999997E-2</v>
      </c>
      <c r="F17" s="30"/>
      <c r="G17" s="30"/>
      <c r="H17" s="30"/>
      <c r="I17" s="30"/>
      <c r="J17" s="30"/>
      <c r="K17" s="30"/>
      <c r="L17" s="30"/>
      <c r="M17" s="30"/>
      <c r="N17" s="30"/>
      <c r="O17" s="30"/>
      <c r="P17" s="30"/>
      <c r="Q17" s="30"/>
      <c r="R17" s="30"/>
      <c r="S17" s="30"/>
    </row>
    <row r="18" spans="1:19" ht="28.8" outlineLevel="3" x14ac:dyDescent="0.3">
      <c r="A18" s="232" t="s">
        <v>63</v>
      </c>
      <c r="B18" s="226">
        <v>3</v>
      </c>
      <c r="C18" s="226">
        <v>2.5761462903100001</v>
      </c>
      <c r="D18" s="226">
        <v>133.6515</v>
      </c>
      <c r="E18" s="227">
        <v>1.3918E-2</v>
      </c>
      <c r="F18" s="30"/>
      <c r="G18" s="30"/>
      <c r="H18" s="30"/>
      <c r="I18" s="30"/>
      <c r="J18" s="30"/>
      <c r="K18" s="30"/>
      <c r="L18" s="30"/>
      <c r="M18" s="30"/>
      <c r="N18" s="30"/>
      <c r="O18" s="30"/>
      <c r="P18" s="30"/>
      <c r="Q18" s="30"/>
      <c r="R18" s="30"/>
      <c r="S18" s="30"/>
    </row>
    <row r="19" spans="1:19" ht="14.4" outlineLevel="3" x14ac:dyDescent="0.3">
      <c r="A19" s="232" t="s">
        <v>65</v>
      </c>
      <c r="B19" s="226">
        <v>4.3204756708399996</v>
      </c>
      <c r="C19" s="226">
        <v>3.7100591239399998</v>
      </c>
      <c r="D19" s="226">
        <v>192.47935137364999</v>
      </c>
      <c r="E19" s="227">
        <v>2.0043999999999999E-2</v>
      </c>
      <c r="F19" s="30"/>
      <c r="G19" s="30"/>
      <c r="H19" s="30"/>
      <c r="I19" s="30"/>
      <c r="J19" s="30"/>
      <c r="K19" s="30"/>
      <c r="L19" s="30"/>
      <c r="M19" s="30"/>
      <c r="N19" s="30"/>
      <c r="O19" s="30"/>
      <c r="P19" s="30"/>
      <c r="Q19" s="30"/>
      <c r="R19" s="30"/>
      <c r="S19" s="30"/>
    </row>
    <row r="20" spans="1:19" ht="14.4" outlineLevel="1" x14ac:dyDescent="0.3">
      <c r="A20" s="233" t="s">
        <v>2</v>
      </c>
      <c r="B20" s="220">
        <f>B$21+B$25</f>
        <v>5.7869695863799997</v>
      </c>
      <c r="C20" s="220">
        <f>C$21+C$25</f>
        <v>4.9693600773999993</v>
      </c>
      <c r="D20" s="220">
        <f>D$21+D$25</f>
        <v>257.81238855825001</v>
      </c>
      <c r="E20" s="221">
        <f>E$21+E$25</f>
        <v>2.6847000000000003E-2</v>
      </c>
      <c r="F20" s="30"/>
      <c r="G20" s="30"/>
      <c r="H20" s="30"/>
      <c r="I20" s="30"/>
      <c r="J20" s="30"/>
      <c r="K20" s="30"/>
      <c r="L20" s="30"/>
      <c r="M20" s="30"/>
      <c r="N20" s="30"/>
      <c r="O20" s="30"/>
      <c r="P20" s="30"/>
      <c r="Q20" s="30"/>
      <c r="R20" s="30"/>
      <c r="S20" s="30"/>
    </row>
    <row r="21" spans="1:19" ht="14.4" outlineLevel="2" x14ac:dyDescent="0.3">
      <c r="A21" s="231" t="s">
        <v>3</v>
      </c>
      <c r="B21" s="217">
        <f>SUM(B$22:B$24)</f>
        <v>1.3874904941999999</v>
      </c>
      <c r="C21" s="217">
        <f>SUM(C$22:C$24)</f>
        <v>1.1914594964999998</v>
      </c>
      <c r="D21" s="217">
        <f>SUM(D$22:D$24)</f>
        <v>61.813395261349996</v>
      </c>
      <c r="E21" s="218">
        <f>SUM(E$22:E$24)</f>
        <v>6.437E-3</v>
      </c>
      <c r="F21" s="30"/>
      <c r="G21" s="30"/>
      <c r="H21" s="30"/>
      <c r="I21" s="30"/>
      <c r="J21" s="30"/>
      <c r="K21" s="30"/>
      <c r="L21" s="30"/>
      <c r="M21" s="30"/>
      <c r="N21" s="30"/>
      <c r="O21" s="30"/>
      <c r="P21" s="30"/>
      <c r="Q21" s="30"/>
      <c r="R21" s="30"/>
      <c r="S21" s="30"/>
    </row>
    <row r="22" spans="1:19" ht="14.4" outlineLevel="3" x14ac:dyDescent="0.3">
      <c r="A22" s="232" t="s">
        <v>4</v>
      </c>
      <c r="B22" s="226">
        <v>5.5555192420000003E-2</v>
      </c>
      <c r="C22" s="226">
        <v>4.7706100949999997E-2</v>
      </c>
      <c r="D22" s="226">
        <v>2.4750116000000002</v>
      </c>
      <c r="E22" s="227">
        <v>2.5799999999999998E-4</v>
      </c>
      <c r="F22" s="30"/>
      <c r="G22" s="30"/>
      <c r="H22" s="30"/>
      <c r="I22" s="30"/>
      <c r="J22" s="30"/>
      <c r="K22" s="30"/>
      <c r="L22" s="30"/>
      <c r="M22" s="30"/>
      <c r="N22" s="30"/>
      <c r="O22" s="30"/>
      <c r="P22" s="30"/>
      <c r="Q22" s="30"/>
      <c r="R22" s="30"/>
      <c r="S22" s="30"/>
    </row>
    <row r="23" spans="1:19" ht="14.4" outlineLevel="3" x14ac:dyDescent="0.3">
      <c r="A23" s="232" t="s">
        <v>20</v>
      </c>
      <c r="B23" s="226">
        <v>1.33191387329</v>
      </c>
      <c r="C23" s="226">
        <v>1.1437349945699999</v>
      </c>
      <c r="D23" s="226">
        <v>59.337429011349997</v>
      </c>
      <c r="E23" s="227">
        <v>6.1789999999999996E-3</v>
      </c>
      <c r="F23" s="30"/>
      <c r="G23" s="30"/>
      <c r="H23" s="30"/>
      <c r="I23" s="30"/>
      <c r="J23" s="30"/>
      <c r="K23" s="30"/>
      <c r="L23" s="30"/>
      <c r="M23" s="30"/>
      <c r="N23" s="30"/>
      <c r="O23" s="30"/>
      <c r="P23" s="30"/>
      <c r="Q23" s="30"/>
      <c r="R23" s="30"/>
      <c r="S23" s="30"/>
    </row>
    <row r="24" spans="1:19" ht="14.4" outlineLevel="3" x14ac:dyDescent="0.3">
      <c r="A24" s="232" t="s">
        <v>79</v>
      </c>
      <c r="B24" s="226">
        <v>2.1428489999999999E-5</v>
      </c>
      <c r="C24" s="226">
        <v>1.8400980000000001E-5</v>
      </c>
      <c r="D24" s="226">
        <v>9.5465000000000003E-4</v>
      </c>
      <c r="E24" s="227">
        <v>0</v>
      </c>
      <c r="F24" s="30"/>
      <c r="G24" s="30"/>
      <c r="H24" s="30"/>
      <c r="I24" s="30"/>
      <c r="J24" s="30"/>
      <c r="K24" s="30"/>
      <c r="L24" s="30"/>
      <c r="M24" s="30"/>
      <c r="N24" s="30"/>
      <c r="O24" s="30"/>
      <c r="P24" s="30"/>
      <c r="Q24" s="30"/>
      <c r="R24" s="30"/>
      <c r="S24" s="30"/>
    </row>
    <row r="25" spans="1:19" ht="14.4" outlineLevel="2" x14ac:dyDescent="0.3">
      <c r="A25" s="231" t="s">
        <v>22</v>
      </c>
      <c r="B25" s="217">
        <f>SUM(B$26:B$30)</f>
        <v>4.39947909218</v>
      </c>
      <c r="C25" s="217">
        <f>SUM(C$26:C$30)</f>
        <v>3.7779005808999995</v>
      </c>
      <c r="D25" s="217">
        <f>SUM(D$26:D$30)</f>
        <v>195.99899329690001</v>
      </c>
      <c r="E25" s="218">
        <f>SUM(E$26:E$30)</f>
        <v>2.0410000000000001E-2</v>
      </c>
      <c r="F25" s="30"/>
      <c r="G25" s="30"/>
      <c r="H25" s="30"/>
      <c r="I25" s="30"/>
      <c r="J25" s="30"/>
      <c r="K25" s="30"/>
      <c r="L25" s="30"/>
      <c r="M25" s="30"/>
      <c r="N25" s="30"/>
      <c r="O25" s="30"/>
      <c r="P25" s="30"/>
      <c r="Q25" s="30"/>
      <c r="R25" s="30"/>
      <c r="S25" s="30"/>
    </row>
    <row r="26" spans="1:19" ht="28.8" outlineLevel="3" x14ac:dyDescent="0.3">
      <c r="A26" s="232" t="s">
        <v>23</v>
      </c>
      <c r="B26" s="226">
        <v>2.4449649041699999</v>
      </c>
      <c r="C26" s="226">
        <v>2.0995290892899998</v>
      </c>
      <c r="D26" s="226">
        <v>108.92440896404</v>
      </c>
      <c r="E26" s="227">
        <v>1.1343000000000001E-2</v>
      </c>
      <c r="F26" s="30"/>
      <c r="G26" s="30"/>
      <c r="H26" s="30"/>
      <c r="I26" s="30"/>
      <c r="J26" s="30"/>
      <c r="K26" s="30"/>
      <c r="L26" s="30"/>
      <c r="M26" s="30"/>
      <c r="N26" s="30"/>
      <c r="O26" s="30"/>
      <c r="P26" s="30"/>
      <c r="Q26" s="30"/>
      <c r="R26" s="30"/>
      <c r="S26" s="30"/>
    </row>
    <row r="27" spans="1:19" ht="28.8" outlineLevel="3" x14ac:dyDescent="0.3">
      <c r="A27" s="232" t="s">
        <v>82</v>
      </c>
      <c r="B27" s="226">
        <v>0.86157590034999998</v>
      </c>
      <c r="C27" s="226">
        <v>0.73984851984</v>
      </c>
      <c r="D27" s="226">
        <v>38.383637148520002</v>
      </c>
      <c r="E27" s="227">
        <v>3.9969999999999997E-3</v>
      </c>
      <c r="F27" s="30"/>
      <c r="G27" s="30"/>
      <c r="H27" s="30"/>
      <c r="I27" s="30"/>
      <c r="J27" s="30"/>
      <c r="K27" s="30"/>
      <c r="L27" s="30"/>
      <c r="M27" s="30"/>
      <c r="N27" s="30"/>
      <c r="O27" s="30"/>
      <c r="P27" s="30"/>
      <c r="Q27" s="30"/>
      <c r="R27" s="30"/>
      <c r="S27" s="30"/>
    </row>
    <row r="28" spans="1:19" ht="28.8" outlineLevel="3" x14ac:dyDescent="0.3">
      <c r="A28" s="232" t="s">
        <v>47</v>
      </c>
      <c r="B28" s="226">
        <v>0.15645230804999999</v>
      </c>
      <c r="C28" s="226">
        <v>0.13434801099999999</v>
      </c>
      <c r="D28" s="226">
        <v>6.9700285497800003</v>
      </c>
      <c r="E28" s="227">
        <v>7.2599999999999997E-4</v>
      </c>
      <c r="F28" s="30"/>
      <c r="G28" s="30"/>
      <c r="H28" s="30"/>
      <c r="I28" s="30"/>
      <c r="J28" s="30"/>
      <c r="K28" s="30"/>
      <c r="L28" s="30"/>
      <c r="M28" s="30"/>
      <c r="N28" s="30"/>
      <c r="O28" s="30"/>
      <c r="P28" s="30"/>
      <c r="Q28" s="30"/>
      <c r="R28" s="30"/>
      <c r="S28" s="30"/>
    </row>
    <row r="29" spans="1:19" ht="14.4" outlineLevel="3" x14ac:dyDescent="0.3">
      <c r="A29" s="232" t="s">
        <v>85</v>
      </c>
      <c r="B29" s="226">
        <v>0.82499999999999996</v>
      </c>
      <c r="C29" s="226">
        <v>0.70844022983999999</v>
      </c>
      <c r="D29" s="226">
        <v>36.7541625</v>
      </c>
      <c r="E29" s="227">
        <v>3.8270000000000001E-3</v>
      </c>
      <c r="F29" s="30"/>
      <c r="G29" s="30"/>
      <c r="H29" s="30"/>
      <c r="I29" s="30"/>
      <c r="J29" s="30"/>
      <c r="K29" s="30"/>
      <c r="L29" s="30"/>
      <c r="M29" s="30"/>
      <c r="N29" s="30"/>
      <c r="O29" s="30"/>
      <c r="P29" s="30"/>
      <c r="Q29" s="30"/>
      <c r="R29" s="30"/>
      <c r="S29" s="30"/>
    </row>
    <row r="30" spans="1:19" ht="14.4" outlineLevel="3" x14ac:dyDescent="0.3">
      <c r="A30" s="232" t="s">
        <v>65</v>
      </c>
      <c r="B30" s="226">
        <v>0.11148597960999999</v>
      </c>
      <c r="C30" s="226">
        <v>9.5734730929999998E-2</v>
      </c>
      <c r="D30" s="226">
        <v>4.9667561345599998</v>
      </c>
      <c r="E30" s="227">
        <v>5.1699999999999999E-4</v>
      </c>
      <c r="F30" s="30"/>
      <c r="G30" s="30"/>
      <c r="H30" s="30"/>
      <c r="I30" s="30"/>
      <c r="J30" s="30"/>
      <c r="K30" s="30"/>
      <c r="L30" s="30"/>
      <c r="M30" s="30"/>
      <c r="N30" s="30"/>
      <c r="O30" s="30"/>
      <c r="P30" s="30"/>
      <c r="Q30" s="30"/>
      <c r="R30" s="30"/>
      <c r="S30" s="30"/>
    </row>
    <row r="31" spans="1:19" x14ac:dyDescent="0.3">
      <c r="B31" s="29"/>
      <c r="C31" s="29"/>
      <c r="D31" s="29"/>
      <c r="E31" s="67"/>
      <c r="F31" s="30"/>
      <c r="G31" s="30"/>
      <c r="H31" s="30"/>
      <c r="I31" s="30"/>
      <c r="J31" s="30"/>
      <c r="K31" s="30"/>
      <c r="L31" s="30"/>
      <c r="M31" s="30"/>
      <c r="N31" s="30"/>
      <c r="O31" s="30"/>
      <c r="P31" s="30"/>
      <c r="Q31" s="30"/>
      <c r="R31" s="30"/>
      <c r="S31" s="30"/>
    </row>
    <row r="32" spans="1:19" x14ac:dyDescent="0.3">
      <c r="B32" s="29"/>
      <c r="C32" s="29"/>
      <c r="D32" s="29"/>
      <c r="E32" s="67"/>
      <c r="F32" s="30"/>
      <c r="G32" s="30"/>
      <c r="H32" s="30"/>
      <c r="I32" s="30"/>
      <c r="J32" s="30"/>
      <c r="K32" s="30"/>
      <c r="L32" s="30"/>
      <c r="M32" s="30"/>
      <c r="N32" s="30"/>
      <c r="O32" s="30"/>
      <c r="P32" s="30"/>
      <c r="Q32" s="30"/>
      <c r="R32" s="30"/>
      <c r="S32" s="30"/>
    </row>
    <row r="33" spans="2:19" x14ac:dyDescent="0.3">
      <c r="B33" s="29"/>
      <c r="C33" s="29"/>
      <c r="D33" s="29"/>
      <c r="E33" s="67"/>
      <c r="F33" s="30"/>
      <c r="G33" s="30"/>
      <c r="H33" s="30"/>
      <c r="I33" s="30"/>
      <c r="J33" s="30"/>
      <c r="K33" s="30"/>
      <c r="L33" s="30"/>
      <c r="M33" s="30"/>
      <c r="N33" s="30"/>
      <c r="O33" s="30"/>
      <c r="P33" s="30"/>
      <c r="Q33" s="30"/>
      <c r="R33" s="30"/>
      <c r="S33" s="30"/>
    </row>
    <row r="34" spans="2:19" x14ac:dyDescent="0.3">
      <c r="B34" s="29"/>
      <c r="C34" s="29"/>
      <c r="D34" s="29"/>
      <c r="E34" s="67"/>
      <c r="F34" s="30"/>
      <c r="G34" s="30"/>
      <c r="H34" s="30"/>
      <c r="I34" s="30"/>
      <c r="J34" s="30"/>
      <c r="K34" s="30"/>
      <c r="L34" s="30"/>
      <c r="M34" s="30"/>
      <c r="N34" s="30"/>
      <c r="O34" s="30"/>
      <c r="P34" s="30"/>
      <c r="Q34" s="30"/>
      <c r="R34" s="30"/>
      <c r="S34" s="30"/>
    </row>
    <row r="35" spans="2:19" x14ac:dyDescent="0.3">
      <c r="B35" s="29"/>
      <c r="C35" s="29"/>
      <c r="D35" s="29"/>
      <c r="E35" s="67"/>
      <c r="F35" s="30"/>
      <c r="G35" s="30"/>
      <c r="H35" s="30"/>
      <c r="I35" s="30"/>
      <c r="J35" s="30"/>
      <c r="K35" s="30"/>
      <c r="L35" s="30"/>
      <c r="M35" s="30"/>
      <c r="N35" s="30"/>
      <c r="O35" s="30"/>
      <c r="P35" s="30"/>
      <c r="Q35" s="30"/>
      <c r="R35" s="30"/>
      <c r="S35" s="30"/>
    </row>
    <row r="36" spans="2:19" x14ac:dyDescent="0.3">
      <c r="B36" s="29"/>
      <c r="C36" s="29"/>
      <c r="D36" s="29"/>
      <c r="E36" s="67"/>
      <c r="F36" s="30"/>
      <c r="G36" s="30"/>
      <c r="H36" s="30"/>
      <c r="I36" s="30"/>
      <c r="J36" s="30"/>
      <c r="K36" s="30"/>
      <c r="L36" s="30"/>
      <c r="M36" s="30"/>
      <c r="N36" s="30"/>
      <c r="O36" s="30"/>
      <c r="P36" s="30"/>
      <c r="Q36" s="30"/>
      <c r="R36" s="30"/>
      <c r="S36" s="30"/>
    </row>
    <row r="37" spans="2:19" x14ac:dyDescent="0.3">
      <c r="B37" s="29"/>
      <c r="C37" s="29"/>
      <c r="D37" s="29"/>
      <c r="E37" s="67"/>
      <c r="F37" s="30"/>
      <c r="G37" s="30"/>
      <c r="H37" s="30"/>
      <c r="I37" s="30"/>
      <c r="J37" s="30"/>
      <c r="K37" s="30"/>
      <c r="L37" s="30"/>
      <c r="M37" s="30"/>
      <c r="N37" s="30"/>
      <c r="O37" s="30"/>
      <c r="P37" s="30"/>
      <c r="Q37" s="30"/>
      <c r="R37" s="30"/>
      <c r="S37" s="30"/>
    </row>
    <row r="38" spans="2:19" x14ac:dyDescent="0.3">
      <c r="B38" s="29"/>
      <c r="C38" s="29"/>
      <c r="D38" s="29"/>
      <c r="E38" s="67"/>
      <c r="F38" s="30"/>
      <c r="G38" s="30"/>
      <c r="H38" s="30"/>
      <c r="I38" s="30"/>
      <c r="J38" s="30"/>
      <c r="K38" s="30"/>
      <c r="L38" s="30"/>
      <c r="M38" s="30"/>
      <c r="N38" s="30"/>
      <c r="O38" s="30"/>
      <c r="P38" s="30"/>
      <c r="Q38" s="30"/>
      <c r="R38" s="30"/>
      <c r="S38" s="30"/>
    </row>
    <row r="39" spans="2:19" x14ac:dyDescent="0.3">
      <c r="B39" s="29"/>
      <c r="C39" s="29"/>
      <c r="D39" s="29"/>
      <c r="E39" s="67"/>
      <c r="F39" s="30"/>
      <c r="G39" s="30"/>
      <c r="H39" s="30"/>
      <c r="I39" s="30"/>
      <c r="J39" s="30"/>
      <c r="K39" s="30"/>
      <c r="L39" s="30"/>
      <c r="M39" s="30"/>
      <c r="N39" s="30"/>
      <c r="O39" s="30"/>
      <c r="P39" s="30"/>
      <c r="Q39" s="30"/>
      <c r="R39" s="30"/>
      <c r="S39" s="30"/>
    </row>
    <row r="40" spans="2:19" x14ac:dyDescent="0.3">
      <c r="B40" s="29"/>
      <c r="C40" s="29"/>
      <c r="D40" s="29"/>
      <c r="E40" s="67"/>
      <c r="F40" s="30"/>
      <c r="G40" s="30"/>
      <c r="H40" s="30"/>
      <c r="I40" s="30"/>
      <c r="J40" s="30"/>
      <c r="K40" s="30"/>
      <c r="L40" s="30"/>
      <c r="M40" s="30"/>
      <c r="N40" s="30"/>
      <c r="O40" s="30"/>
      <c r="P40" s="30"/>
      <c r="Q40" s="30"/>
      <c r="R40" s="30"/>
      <c r="S40" s="30"/>
    </row>
    <row r="41" spans="2:19" x14ac:dyDescent="0.3">
      <c r="B41" s="29"/>
      <c r="C41" s="29"/>
      <c r="D41" s="29"/>
      <c r="E41" s="67"/>
      <c r="F41" s="30"/>
      <c r="G41" s="30"/>
      <c r="H41" s="30"/>
      <c r="I41" s="30"/>
      <c r="J41" s="30"/>
      <c r="K41" s="30"/>
      <c r="L41" s="30"/>
      <c r="M41" s="30"/>
      <c r="N41" s="30"/>
      <c r="O41" s="30"/>
      <c r="P41" s="30"/>
      <c r="Q41" s="30"/>
      <c r="R41" s="30"/>
      <c r="S41" s="30"/>
    </row>
    <row r="42" spans="2:19" x14ac:dyDescent="0.3">
      <c r="B42" s="29"/>
      <c r="C42" s="29"/>
      <c r="D42" s="29"/>
      <c r="E42" s="67"/>
      <c r="F42" s="30"/>
      <c r="G42" s="30"/>
      <c r="H42" s="30"/>
      <c r="I42" s="30"/>
      <c r="J42" s="30"/>
      <c r="K42" s="30"/>
      <c r="L42" s="30"/>
      <c r="M42" s="30"/>
      <c r="N42" s="30"/>
      <c r="O42" s="30"/>
      <c r="P42" s="30"/>
      <c r="Q42" s="30"/>
      <c r="R42" s="30"/>
      <c r="S42" s="30"/>
    </row>
    <row r="43" spans="2:19" x14ac:dyDescent="0.3">
      <c r="B43" s="29"/>
      <c r="C43" s="29"/>
      <c r="D43" s="29"/>
      <c r="E43" s="67"/>
      <c r="F43" s="30"/>
      <c r="G43" s="30"/>
      <c r="H43" s="30"/>
      <c r="I43" s="30"/>
      <c r="J43" s="30"/>
      <c r="K43" s="30"/>
      <c r="L43" s="30"/>
      <c r="M43" s="30"/>
      <c r="N43" s="30"/>
      <c r="O43" s="30"/>
      <c r="P43" s="30"/>
      <c r="Q43" s="30"/>
      <c r="R43" s="30"/>
      <c r="S43" s="30"/>
    </row>
    <row r="44" spans="2:19" x14ac:dyDescent="0.3">
      <c r="B44" s="29"/>
      <c r="C44" s="29"/>
      <c r="D44" s="29"/>
      <c r="E44" s="67"/>
      <c r="F44" s="30"/>
      <c r="G44" s="30"/>
      <c r="H44" s="30"/>
      <c r="I44" s="30"/>
      <c r="J44" s="30"/>
      <c r="K44" s="30"/>
      <c r="L44" s="30"/>
      <c r="M44" s="30"/>
      <c r="N44" s="30"/>
      <c r="O44" s="30"/>
      <c r="P44" s="30"/>
      <c r="Q44" s="30"/>
      <c r="R44" s="30"/>
      <c r="S44" s="30"/>
    </row>
    <row r="45" spans="2:19" x14ac:dyDescent="0.3">
      <c r="B45" s="29"/>
      <c r="C45" s="29"/>
      <c r="D45" s="29"/>
      <c r="E45" s="67"/>
      <c r="F45" s="30"/>
      <c r="G45" s="30"/>
      <c r="H45" s="30"/>
      <c r="I45" s="30"/>
      <c r="J45" s="30"/>
      <c r="K45" s="30"/>
      <c r="L45" s="30"/>
      <c r="M45" s="30"/>
      <c r="N45" s="30"/>
      <c r="O45" s="30"/>
      <c r="P45" s="30"/>
      <c r="Q45" s="30"/>
      <c r="R45" s="30"/>
      <c r="S45" s="30"/>
    </row>
    <row r="46" spans="2:19" x14ac:dyDescent="0.3">
      <c r="B46" s="29"/>
      <c r="C46" s="29"/>
      <c r="D46" s="29"/>
      <c r="E46" s="67"/>
      <c r="F46" s="30"/>
      <c r="G46" s="30"/>
      <c r="H46" s="30"/>
      <c r="I46" s="30"/>
      <c r="J46" s="30"/>
      <c r="K46" s="30"/>
      <c r="L46" s="30"/>
      <c r="M46" s="30"/>
      <c r="N46" s="30"/>
      <c r="O46" s="30"/>
      <c r="P46" s="30"/>
      <c r="Q46" s="30"/>
      <c r="R46" s="30"/>
      <c r="S46" s="30"/>
    </row>
    <row r="47" spans="2:19" x14ac:dyDescent="0.3">
      <c r="B47" s="29"/>
      <c r="C47" s="29"/>
      <c r="D47" s="29"/>
      <c r="E47" s="67"/>
      <c r="F47" s="30"/>
      <c r="G47" s="30"/>
      <c r="H47" s="30"/>
      <c r="I47" s="30"/>
      <c r="J47" s="30"/>
      <c r="K47" s="30"/>
      <c r="L47" s="30"/>
      <c r="M47" s="30"/>
      <c r="N47" s="30"/>
      <c r="O47" s="30"/>
      <c r="P47" s="30"/>
      <c r="Q47" s="30"/>
      <c r="R47" s="30"/>
      <c r="S47" s="30"/>
    </row>
    <row r="48" spans="2:19" x14ac:dyDescent="0.3">
      <c r="B48" s="29"/>
      <c r="C48" s="29"/>
      <c r="D48" s="29"/>
      <c r="E48" s="67"/>
      <c r="F48" s="30"/>
      <c r="G48" s="30"/>
      <c r="H48" s="30"/>
      <c r="I48" s="30"/>
      <c r="J48" s="30"/>
      <c r="K48" s="30"/>
      <c r="L48" s="30"/>
      <c r="M48" s="30"/>
      <c r="N48" s="30"/>
      <c r="O48" s="30"/>
      <c r="P48" s="30"/>
      <c r="Q48" s="30"/>
      <c r="R48" s="30"/>
      <c r="S48" s="30"/>
    </row>
    <row r="49" spans="2:19" x14ac:dyDescent="0.3">
      <c r="B49" s="29"/>
      <c r="C49" s="29"/>
      <c r="D49" s="29"/>
      <c r="E49" s="67"/>
      <c r="F49" s="30"/>
      <c r="G49" s="30"/>
      <c r="H49" s="30"/>
      <c r="I49" s="30"/>
      <c r="J49" s="30"/>
      <c r="K49" s="30"/>
      <c r="L49" s="30"/>
      <c r="M49" s="30"/>
      <c r="N49" s="30"/>
      <c r="O49" s="30"/>
      <c r="P49" s="30"/>
      <c r="Q49" s="30"/>
      <c r="R49" s="30"/>
      <c r="S49" s="30"/>
    </row>
    <row r="50" spans="2:19" x14ac:dyDescent="0.3">
      <c r="B50" s="29"/>
      <c r="C50" s="29"/>
      <c r="D50" s="29"/>
      <c r="E50" s="67"/>
      <c r="F50" s="30"/>
      <c r="G50" s="30"/>
      <c r="H50" s="30"/>
      <c r="I50" s="30"/>
      <c r="J50" s="30"/>
      <c r="K50" s="30"/>
      <c r="L50" s="30"/>
      <c r="M50" s="30"/>
      <c r="N50" s="30"/>
      <c r="O50" s="30"/>
      <c r="P50" s="30"/>
      <c r="Q50" s="30"/>
      <c r="R50" s="30"/>
      <c r="S50" s="30"/>
    </row>
    <row r="51" spans="2:19" x14ac:dyDescent="0.3">
      <c r="B51" s="29"/>
      <c r="C51" s="29"/>
      <c r="D51" s="29"/>
      <c r="E51" s="67"/>
      <c r="F51" s="30"/>
      <c r="G51" s="30"/>
      <c r="H51" s="30"/>
      <c r="I51" s="30"/>
      <c r="J51" s="30"/>
      <c r="K51" s="30"/>
      <c r="L51" s="30"/>
      <c r="M51" s="30"/>
      <c r="N51" s="30"/>
      <c r="O51" s="30"/>
      <c r="P51" s="30"/>
      <c r="Q51" s="30"/>
      <c r="R51" s="30"/>
      <c r="S51" s="30"/>
    </row>
    <row r="52" spans="2:19" x14ac:dyDescent="0.3">
      <c r="B52" s="29"/>
      <c r="C52" s="29"/>
      <c r="D52" s="29"/>
      <c r="E52" s="67"/>
      <c r="F52" s="30"/>
      <c r="G52" s="30"/>
      <c r="H52" s="30"/>
      <c r="I52" s="30"/>
      <c r="J52" s="30"/>
      <c r="K52" s="30"/>
      <c r="L52" s="30"/>
      <c r="M52" s="30"/>
      <c r="N52" s="30"/>
      <c r="O52" s="30"/>
      <c r="P52" s="30"/>
      <c r="Q52" s="30"/>
      <c r="R52" s="30"/>
      <c r="S52" s="30"/>
    </row>
    <row r="53" spans="2:19" x14ac:dyDescent="0.3">
      <c r="B53" s="29"/>
      <c r="C53" s="29"/>
      <c r="D53" s="29"/>
      <c r="E53" s="67"/>
      <c r="F53" s="30"/>
      <c r="G53" s="30"/>
      <c r="H53" s="30"/>
      <c r="I53" s="30"/>
      <c r="J53" s="30"/>
      <c r="K53" s="30"/>
      <c r="L53" s="30"/>
      <c r="M53" s="30"/>
      <c r="N53" s="30"/>
      <c r="O53" s="30"/>
      <c r="P53" s="30"/>
      <c r="Q53" s="30"/>
      <c r="R53" s="30"/>
      <c r="S53" s="30"/>
    </row>
    <row r="54" spans="2:19" x14ac:dyDescent="0.3">
      <c r="B54" s="29"/>
      <c r="C54" s="29"/>
      <c r="D54" s="29"/>
      <c r="E54" s="67"/>
      <c r="F54" s="30"/>
      <c r="G54" s="30"/>
      <c r="H54" s="30"/>
      <c r="I54" s="30"/>
      <c r="J54" s="30"/>
      <c r="K54" s="30"/>
      <c r="L54" s="30"/>
      <c r="M54" s="30"/>
      <c r="N54" s="30"/>
      <c r="O54" s="30"/>
      <c r="P54" s="30"/>
      <c r="Q54" s="30"/>
      <c r="R54" s="30"/>
      <c r="S54" s="30"/>
    </row>
    <row r="55" spans="2:19" x14ac:dyDescent="0.3">
      <c r="B55" s="29"/>
      <c r="C55" s="29"/>
      <c r="D55" s="29"/>
      <c r="E55" s="67"/>
      <c r="F55" s="30"/>
      <c r="G55" s="30"/>
      <c r="H55" s="30"/>
      <c r="I55" s="30"/>
      <c r="J55" s="30"/>
      <c r="K55" s="30"/>
      <c r="L55" s="30"/>
      <c r="M55" s="30"/>
      <c r="N55" s="30"/>
      <c r="O55" s="30"/>
      <c r="P55" s="30"/>
      <c r="Q55" s="30"/>
      <c r="R55" s="30"/>
      <c r="S55" s="30"/>
    </row>
    <row r="56" spans="2:19" x14ac:dyDescent="0.3">
      <c r="B56" s="29"/>
      <c r="C56" s="29"/>
      <c r="D56" s="29"/>
      <c r="E56" s="67"/>
      <c r="F56" s="30"/>
      <c r="G56" s="30"/>
      <c r="H56" s="30"/>
      <c r="I56" s="30"/>
      <c r="J56" s="30"/>
      <c r="K56" s="30"/>
      <c r="L56" s="30"/>
      <c r="M56" s="30"/>
      <c r="N56" s="30"/>
      <c r="O56" s="30"/>
      <c r="P56" s="30"/>
      <c r="Q56" s="30"/>
      <c r="R56" s="30"/>
      <c r="S56" s="30"/>
    </row>
    <row r="57" spans="2:19" x14ac:dyDescent="0.3">
      <c r="B57" s="29"/>
      <c r="C57" s="29"/>
      <c r="D57" s="29"/>
      <c r="E57" s="67"/>
      <c r="F57" s="30"/>
      <c r="G57" s="30"/>
      <c r="H57" s="30"/>
      <c r="I57" s="30"/>
      <c r="J57" s="30"/>
      <c r="K57" s="30"/>
      <c r="L57" s="30"/>
      <c r="M57" s="30"/>
      <c r="N57" s="30"/>
      <c r="O57" s="30"/>
      <c r="P57" s="30"/>
      <c r="Q57" s="30"/>
      <c r="R57" s="30"/>
      <c r="S57" s="30"/>
    </row>
    <row r="58" spans="2:19" x14ac:dyDescent="0.3">
      <c r="B58" s="29"/>
      <c r="C58" s="29"/>
      <c r="D58" s="29"/>
      <c r="E58" s="67"/>
      <c r="F58" s="30"/>
      <c r="G58" s="30"/>
      <c r="H58" s="30"/>
      <c r="I58" s="30"/>
      <c r="J58" s="30"/>
      <c r="K58" s="30"/>
      <c r="L58" s="30"/>
      <c r="M58" s="30"/>
      <c r="N58" s="30"/>
      <c r="O58" s="30"/>
      <c r="P58" s="30"/>
      <c r="Q58" s="30"/>
      <c r="R58" s="30"/>
      <c r="S58" s="30"/>
    </row>
    <row r="59" spans="2:19" x14ac:dyDescent="0.3">
      <c r="B59" s="29"/>
      <c r="C59" s="29"/>
      <c r="D59" s="29"/>
      <c r="E59" s="67"/>
      <c r="F59" s="30"/>
      <c r="G59" s="30"/>
      <c r="H59" s="30"/>
      <c r="I59" s="30"/>
      <c r="J59" s="30"/>
      <c r="K59" s="30"/>
      <c r="L59" s="30"/>
      <c r="M59" s="30"/>
      <c r="N59" s="30"/>
      <c r="O59" s="30"/>
      <c r="P59" s="30"/>
      <c r="Q59" s="30"/>
      <c r="R59" s="30"/>
      <c r="S59" s="30"/>
    </row>
    <row r="60" spans="2:19" x14ac:dyDescent="0.3">
      <c r="B60" s="29"/>
      <c r="C60" s="29"/>
      <c r="D60" s="29"/>
      <c r="E60" s="67"/>
      <c r="F60" s="30"/>
      <c r="G60" s="30"/>
      <c r="H60" s="30"/>
      <c r="I60" s="30"/>
      <c r="J60" s="30"/>
      <c r="K60" s="30"/>
      <c r="L60" s="30"/>
      <c r="M60" s="30"/>
      <c r="N60" s="30"/>
      <c r="O60" s="30"/>
      <c r="P60" s="30"/>
      <c r="Q60" s="30"/>
      <c r="R60" s="30"/>
      <c r="S60" s="30"/>
    </row>
    <row r="61" spans="2:19" x14ac:dyDescent="0.3">
      <c r="B61" s="29"/>
      <c r="C61" s="29"/>
      <c r="D61" s="29"/>
      <c r="E61" s="67"/>
      <c r="F61" s="30"/>
      <c r="G61" s="30"/>
      <c r="H61" s="30"/>
      <c r="I61" s="30"/>
      <c r="J61" s="30"/>
      <c r="K61" s="30"/>
      <c r="L61" s="30"/>
      <c r="M61" s="30"/>
      <c r="N61" s="30"/>
      <c r="O61" s="30"/>
      <c r="P61" s="30"/>
      <c r="Q61" s="30"/>
      <c r="R61" s="30"/>
      <c r="S61" s="30"/>
    </row>
    <row r="62" spans="2:19" x14ac:dyDescent="0.3">
      <c r="B62" s="29"/>
      <c r="C62" s="29"/>
      <c r="D62" s="29"/>
      <c r="E62" s="67"/>
      <c r="F62" s="30"/>
      <c r="G62" s="30"/>
      <c r="H62" s="30"/>
      <c r="I62" s="30"/>
      <c r="J62" s="30"/>
      <c r="K62" s="30"/>
      <c r="L62" s="30"/>
      <c r="M62" s="30"/>
      <c r="N62" s="30"/>
      <c r="O62" s="30"/>
      <c r="P62" s="30"/>
      <c r="Q62" s="30"/>
      <c r="R62" s="30"/>
      <c r="S62" s="30"/>
    </row>
    <row r="63" spans="2:19" x14ac:dyDescent="0.3">
      <c r="B63" s="29"/>
      <c r="C63" s="29"/>
      <c r="D63" s="29"/>
      <c r="E63" s="67"/>
      <c r="F63" s="30"/>
      <c r="G63" s="30"/>
      <c r="H63" s="30"/>
      <c r="I63" s="30"/>
      <c r="J63" s="30"/>
      <c r="K63" s="30"/>
      <c r="L63" s="30"/>
      <c r="M63" s="30"/>
      <c r="N63" s="30"/>
      <c r="O63" s="30"/>
      <c r="P63" s="30"/>
      <c r="Q63" s="30"/>
      <c r="R63" s="30"/>
      <c r="S63" s="30"/>
    </row>
    <row r="64" spans="2:19" x14ac:dyDescent="0.3">
      <c r="B64" s="29"/>
      <c r="C64" s="29"/>
      <c r="D64" s="29"/>
      <c r="E64" s="67"/>
      <c r="F64" s="30"/>
      <c r="G64" s="30"/>
      <c r="H64" s="30"/>
      <c r="I64" s="30"/>
      <c r="J64" s="30"/>
      <c r="K64" s="30"/>
      <c r="L64" s="30"/>
      <c r="M64" s="30"/>
      <c r="N64" s="30"/>
      <c r="O64" s="30"/>
      <c r="P64" s="30"/>
      <c r="Q64" s="30"/>
      <c r="R64" s="30"/>
      <c r="S64" s="30"/>
    </row>
    <row r="65" spans="2:19" x14ac:dyDescent="0.3">
      <c r="B65" s="29"/>
      <c r="C65" s="29"/>
      <c r="D65" s="29"/>
      <c r="E65" s="67"/>
      <c r="F65" s="30"/>
      <c r="G65" s="30"/>
      <c r="H65" s="30"/>
      <c r="I65" s="30"/>
      <c r="J65" s="30"/>
      <c r="K65" s="30"/>
      <c r="L65" s="30"/>
      <c r="M65" s="30"/>
      <c r="N65" s="30"/>
      <c r="O65" s="30"/>
      <c r="P65" s="30"/>
      <c r="Q65" s="30"/>
      <c r="R65" s="30"/>
      <c r="S65" s="30"/>
    </row>
    <row r="66" spans="2:19" x14ac:dyDescent="0.3">
      <c r="B66" s="29"/>
      <c r="C66" s="29"/>
      <c r="D66" s="29"/>
      <c r="E66" s="67"/>
      <c r="F66" s="30"/>
      <c r="G66" s="30"/>
      <c r="H66" s="30"/>
      <c r="I66" s="30"/>
      <c r="J66" s="30"/>
      <c r="K66" s="30"/>
      <c r="L66" s="30"/>
      <c r="M66" s="30"/>
      <c r="N66" s="30"/>
      <c r="O66" s="30"/>
      <c r="P66" s="30"/>
      <c r="Q66" s="30"/>
      <c r="R66" s="30"/>
      <c r="S66" s="30"/>
    </row>
    <row r="67" spans="2:19" x14ac:dyDescent="0.3">
      <c r="B67" s="29"/>
      <c r="C67" s="29"/>
      <c r="D67" s="29"/>
      <c r="E67" s="67"/>
      <c r="F67" s="30"/>
      <c r="G67" s="30"/>
      <c r="H67" s="30"/>
      <c r="I67" s="30"/>
      <c r="J67" s="30"/>
      <c r="K67" s="30"/>
      <c r="L67" s="30"/>
      <c r="M67" s="30"/>
      <c r="N67" s="30"/>
      <c r="O67" s="30"/>
      <c r="P67" s="30"/>
      <c r="Q67" s="30"/>
      <c r="R67" s="30"/>
      <c r="S67" s="30"/>
    </row>
    <row r="68" spans="2:19" x14ac:dyDescent="0.3">
      <c r="B68" s="29"/>
      <c r="C68" s="29"/>
      <c r="D68" s="29"/>
      <c r="E68" s="67"/>
      <c r="F68" s="30"/>
      <c r="G68" s="30"/>
      <c r="H68" s="30"/>
      <c r="I68" s="30"/>
      <c r="J68" s="30"/>
      <c r="K68" s="30"/>
      <c r="L68" s="30"/>
      <c r="M68" s="30"/>
      <c r="N68" s="30"/>
      <c r="O68" s="30"/>
      <c r="P68" s="30"/>
      <c r="Q68" s="30"/>
      <c r="R68" s="30"/>
      <c r="S68" s="30"/>
    </row>
    <row r="69" spans="2:19" x14ac:dyDescent="0.3">
      <c r="B69" s="29"/>
      <c r="C69" s="29"/>
      <c r="D69" s="29"/>
      <c r="E69" s="67"/>
      <c r="F69" s="30"/>
      <c r="G69" s="30"/>
      <c r="H69" s="30"/>
      <c r="I69" s="30"/>
      <c r="J69" s="30"/>
      <c r="K69" s="30"/>
      <c r="L69" s="30"/>
      <c r="M69" s="30"/>
      <c r="N69" s="30"/>
      <c r="O69" s="30"/>
      <c r="P69" s="30"/>
      <c r="Q69" s="30"/>
      <c r="R69" s="30"/>
      <c r="S69" s="30"/>
    </row>
    <row r="70" spans="2:19" x14ac:dyDescent="0.3">
      <c r="B70" s="29"/>
      <c r="C70" s="29"/>
      <c r="D70" s="29"/>
      <c r="E70" s="67"/>
      <c r="F70" s="30"/>
      <c r="G70" s="30"/>
      <c r="H70" s="30"/>
      <c r="I70" s="30"/>
      <c r="J70" s="30"/>
      <c r="K70" s="30"/>
      <c r="L70" s="30"/>
      <c r="M70" s="30"/>
      <c r="N70" s="30"/>
      <c r="O70" s="30"/>
      <c r="P70" s="30"/>
      <c r="Q70" s="30"/>
      <c r="R70" s="30"/>
      <c r="S70" s="30"/>
    </row>
    <row r="71" spans="2:19" x14ac:dyDescent="0.3">
      <c r="B71" s="29"/>
      <c r="C71" s="29"/>
      <c r="D71" s="29"/>
      <c r="E71" s="67"/>
      <c r="F71" s="30"/>
      <c r="G71" s="30"/>
      <c r="H71" s="30"/>
      <c r="I71" s="30"/>
      <c r="J71" s="30"/>
      <c r="K71" s="30"/>
      <c r="L71" s="30"/>
      <c r="M71" s="30"/>
      <c r="N71" s="30"/>
      <c r="O71" s="30"/>
      <c r="P71" s="30"/>
      <c r="Q71" s="30"/>
      <c r="R71" s="30"/>
      <c r="S71" s="30"/>
    </row>
    <row r="72" spans="2:19" x14ac:dyDescent="0.3">
      <c r="B72" s="29"/>
      <c r="C72" s="29"/>
      <c r="D72" s="29"/>
      <c r="E72" s="67"/>
      <c r="F72" s="30"/>
      <c r="G72" s="30"/>
      <c r="H72" s="30"/>
      <c r="I72" s="30"/>
      <c r="J72" s="30"/>
      <c r="K72" s="30"/>
      <c r="L72" s="30"/>
      <c r="M72" s="30"/>
      <c r="N72" s="30"/>
      <c r="O72" s="30"/>
      <c r="P72" s="30"/>
      <c r="Q72" s="30"/>
      <c r="R72" s="30"/>
      <c r="S72" s="30"/>
    </row>
    <row r="73" spans="2:19" x14ac:dyDescent="0.3">
      <c r="B73" s="29"/>
      <c r="C73" s="29"/>
      <c r="D73" s="29"/>
      <c r="E73" s="67"/>
      <c r="F73" s="30"/>
      <c r="G73" s="30"/>
      <c r="H73" s="30"/>
      <c r="I73" s="30"/>
      <c r="J73" s="30"/>
      <c r="K73" s="30"/>
      <c r="L73" s="30"/>
      <c r="M73" s="30"/>
      <c r="N73" s="30"/>
      <c r="O73" s="30"/>
      <c r="P73" s="30"/>
      <c r="Q73" s="30"/>
      <c r="R73" s="30"/>
      <c r="S73" s="30"/>
    </row>
    <row r="74" spans="2:19" x14ac:dyDescent="0.3">
      <c r="B74" s="29"/>
      <c r="C74" s="29"/>
      <c r="D74" s="29"/>
      <c r="E74" s="67"/>
      <c r="F74" s="30"/>
      <c r="G74" s="30"/>
      <c r="H74" s="30"/>
      <c r="I74" s="30"/>
      <c r="J74" s="30"/>
      <c r="K74" s="30"/>
      <c r="L74" s="30"/>
      <c r="M74" s="30"/>
      <c r="N74" s="30"/>
      <c r="O74" s="30"/>
      <c r="P74" s="30"/>
      <c r="Q74" s="30"/>
      <c r="R74" s="30"/>
      <c r="S74" s="30"/>
    </row>
    <row r="75" spans="2:19" x14ac:dyDescent="0.3">
      <c r="B75" s="29"/>
      <c r="C75" s="29"/>
      <c r="D75" s="29"/>
      <c r="E75" s="67"/>
      <c r="F75" s="30"/>
      <c r="G75" s="30"/>
      <c r="H75" s="30"/>
      <c r="I75" s="30"/>
      <c r="J75" s="30"/>
      <c r="K75" s="30"/>
      <c r="L75" s="30"/>
      <c r="M75" s="30"/>
      <c r="N75" s="30"/>
      <c r="O75" s="30"/>
      <c r="P75" s="30"/>
      <c r="Q75" s="30"/>
      <c r="R75" s="30"/>
      <c r="S75" s="30"/>
    </row>
    <row r="76" spans="2:19" x14ac:dyDescent="0.3">
      <c r="B76" s="29"/>
      <c r="C76" s="29"/>
      <c r="D76" s="29"/>
      <c r="E76" s="67"/>
      <c r="F76" s="30"/>
      <c r="G76" s="30"/>
      <c r="H76" s="30"/>
      <c r="I76" s="30"/>
      <c r="J76" s="30"/>
      <c r="K76" s="30"/>
      <c r="L76" s="30"/>
      <c r="M76" s="30"/>
      <c r="N76" s="30"/>
      <c r="O76" s="30"/>
      <c r="P76" s="30"/>
      <c r="Q76" s="30"/>
      <c r="R76" s="30"/>
      <c r="S76" s="30"/>
    </row>
    <row r="77" spans="2:19" x14ac:dyDescent="0.3">
      <c r="B77" s="29"/>
      <c r="C77" s="29"/>
      <c r="D77" s="29"/>
      <c r="E77" s="67"/>
      <c r="F77" s="30"/>
      <c r="G77" s="30"/>
      <c r="H77" s="30"/>
      <c r="I77" s="30"/>
      <c r="J77" s="30"/>
      <c r="K77" s="30"/>
      <c r="L77" s="30"/>
      <c r="M77" s="30"/>
      <c r="N77" s="30"/>
      <c r="O77" s="30"/>
      <c r="P77" s="30"/>
      <c r="Q77" s="30"/>
      <c r="R77" s="30"/>
      <c r="S77" s="30"/>
    </row>
    <row r="78" spans="2:19" x14ac:dyDescent="0.3">
      <c r="B78" s="29"/>
      <c r="C78" s="29"/>
      <c r="D78" s="29"/>
      <c r="E78" s="67"/>
      <c r="F78" s="30"/>
      <c r="G78" s="30"/>
      <c r="H78" s="30"/>
      <c r="I78" s="30"/>
      <c r="J78" s="30"/>
      <c r="K78" s="30"/>
      <c r="L78" s="30"/>
      <c r="M78" s="30"/>
      <c r="N78" s="30"/>
      <c r="O78" s="30"/>
      <c r="P78" s="30"/>
      <c r="Q78" s="30"/>
      <c r="R78" s="30"/>
      <c r="S78" s="30"/>
    </row>
    <row r="79" spans="2:19" x14ac:dyDescent="0.3">
      <c r="B79" s="29"/>
      <c r="C79" s="29"/>
      <c r="D79" s="29"/>
      <c r="E79" s="67"/>
      <c r="F79" s="30"/>
      <c r="G79" s="30"/>
      <c r="H79" s="30"/>
      <c r="I79" s="30"/>
      <c r="J79" s="30"/>
      <c r="K79" s="30"/>
      <c r="L79" s="30"/>
      <c r="M79" s="30"/>
      <c r="N79" s="30"/>
      <c r="O79" s="30"/>
      <c r="P79" s="30"/>
      <c r="Q79" s="30"/>
      <c r="R79" s="30"/>
      <c r="S79" s="30"/>
    </row>
    <row r="80" spans="2:19" x14ac:dyDescent="0.3">
      <c r="B80" s="29"/>
      <c r="C80" s="29"/>
      <c r="D80" s="29"/>
      <c r="E80" s="67"/>
      <c r="F80" s="30"/>
      <c r="G80" s="30"/>
      <c r="H80" s="30"/>
      <c r="I80" s="30"/>
      <c r="J80" s="30"/>
      <c r="K80" s="30"/>
      <c r="L80" s="30"/>
      <c r="M80" s="30"/>
      <c r="N80" s="30"/>
      <c r="O80" s="30"/>
      <c r="P80" s="30"/>
      <c r="Q80" s="30"/>
      <c r="R80" s="30"/>
      <c r="S80" s="30"/>
    </row>
    <row r="81" spans="2:19" x14ac:dyDescent="0.3">
      <c r="B81" s="29"/>
      <c r="C81" s="29"/>
      <c r="D81" s="29"/>
      <c r="E81" s="67"/>
      <c r="F81" s="30"/>
      <c r="G81" s="30"/>
      <c r="H81" s="30"/>
      <c r="I81" s="30"/>
      <c r="J81" s="30"/>
      <c r="K81" s="30"/>
      <c r="L81" s="30"/>
      <c r="M81" s="30"/>
      <c r="N81" s="30"/>
      <c r="O81" s="30"/>
      <c r="P81" s="30"/>
      <c r="Q81" s="30"/>
      <c r="R81" s="30"/>
      <c r="S81" s="30"/>
    </row>
    <row r="82" spans="2:19" x14ac:dyDescent="0.3">
      <c r="B82" s="29"/>
      <c r="C82" s="29"/>
      <c r="D82" s="29"/>
      <c r="E82" s="67"/>
      <c r="F82" s="30"/>
      <c r="G82" s="30"/>
      <c r="H82" s="30"/>
      <c r="I82" s="30"/>
      <c r="J82" s="30"/>
      <c r="K82" s="30"/>
      <c r="L82" s="30"/>
      <c r="M82" s="30"/>
      <c r="N82" s="30"/>
      <c r="O82" s="30"/>
      <c r="P82" s="30"/>
      <c r="Q82" s="30"/>
      <c r="R82" s="30"/>
      <c r="S82" s="30"/>
    </row>
    <row r="83" spans="2:19" x14ac:dyDescent="0.3">
      <c r="B83" s="29"/>
      <c r="C83" s="29"/>
      <c r="D83" s="29"/>
      <c r="E83" s="67"/>
      <c r="F83" s="30"/>
      <c r="G83" s="30"/>
      <c r="H83" s="30"/>
      <c r="I83" s="30"/>
      <c r="J83" s="30"/>
      <c r="K83" s="30"/>
      <c r="L83" s="30"/>
      <c r="M83" s="30"/>
      <c r="N83" s="30"/>
      <c r="O83" s="30"/>
      <c r="P83" s="30"/>
      <c r="Q83" s="30"/>
      <c r="R83" s="30"/>
      <c r="S83" s="30"/>
    </row>
    <row r="84" spans="2:19" x14ac:dyDescent="0.3">
      <c r="B84" s="29"/>
      <c r="C84" s="29"/>
      <c r="D84" s="29"/>
      <c r="E84" s="67"/>
      <c r="F84" s="30"/>
      <c r="G84" s="30"/>
      <c r="H84" s="30"/>
      <c r="I84" s="30"/>
      <c r="J84" s="30"/>
      <c r="K84" s="30"/>
      <c r="L84" s="30"/>
      <c r="M84" s="30"/>
      <c r="N84" s="30"/>
      <c r="O84" s="30"/>
      <c r="P84" s="30"/>
      <c r="Q84" s="30"/>
      <c r="R84" s="30"/>
      <c r="S84" s="30"/>
    </row>
    <row r="85" spans="2:19" x14ac:dyDescent="0.3">
      <c r="B85" s="29"/>
      <c r="C85" s="29"/>
      <c r="D85" s="29"/>
      <c r="E85" s="67"/>
      <c r="F85" s="30"/>
      <c r="G85" s="30"/>
      <c r="H85" s="30"/>
      <c r="I85" s="30"/>
      <c r="J85" s="30"/>
      <c r="K85" s="30"/>
      <c r="L85" s="30"/>
      <c r="M85" s="30"/>
      <c r="N85" s="30"/>
      <c r="O85" s="30"/>
      <c r="P85" s="30"/>
      <c r="Q85" s="30"/>
      <c r="R85" s="30"/>
      <c r="S85" s="30"/>
    </row>
    <row r="86" spans="2:19" x14ac:dyDescent="0.3">
      <c r="B86" s="29"/>
      <c r="C86" s="29"/>
      <c r="D86" s="29"/>
      <c r="E86" s="67"/>
      <c r="F86" s="30"/>
      <c r="G86" s="30"/>
      <c r="H86" s="30"/>
      <c r="I86" s="30"/>
      <c r="J86" s="30"/>
      <c r="K86" s="30"/>
      <c r="L86" s="30"/>
      <c r="M86" s="30"/>
      <c r="N86" s="30"/>
      <c r="O86" s="30"/>
      <c r="P86" s="30"/>
      <c r="Q86" s="30"/>
      <c r="R86" s="30"/>
      <c r="S86" s="30"/>
    </row>
    <row r="87" spans="2:19" x14ac:dyDescent="0.3">
      <c r="B87" s="29"/>
      <c r="C87" s="29"/>
      <c r="D87" s="29"/>
      <c r="E87" s="67"/>
      <c r="F87" s="30"/>
      <c r="G87" s="30"/>
      <c r="H87" s="30"/>
      <c r="I87" s="30"/>
      <c r="J87" s="30"/>
      <c r="K87" s="30"/>
      <c r="L87" s="30"/>
      <c r="M87" s="30"/>
      <c r="N87" s="30"/>
      <c r="O87" s="30"/>
      <c r="P87" s="30"/>
      <c r="Q87" s="30"/>
      <c r="R87" s="30"/>
      <c r="S87" s="30"/>
    </row>
    <row r="88" spans="2:19" x14ac:dyDescent="0.3">
      <c r="B88" s="29"/>
      <c r="C88" s="29"/>
      <c r="D88" s="29"/>
      <c r="E88" s="67"/>
      <c r="F88" s="30"/>
      <c r="G88" s="30"/>
      <c r="H88" s="30"/>
      <c r="I88" s="30"/>
      <c r="J88" s="30"/>
      <c r="K88" s="30"/>
      <c r="L88" s="30"/>
      <c r="M88" s="30"/>
      <c r="N88" s="30"/>
      <c r="O88" s="30"/>
      <c r="P88" s="30"/>
      <c r="Q88" s="30"/>
      <c r="R88" s="30"/>
      <c r="S88" s="30"/>
    </row>
    <row r="89" spans="2:19" x14ac:dyDescent="0.3">
      <c r="B89" s="29"/>
      <c r="C89" s="29"/>
      <c r="D89" s="29"/>
      <c r="E89" s="67"/>
      <c r="F89" s="30"/>
      <c r="G89" s="30"/>
      <c r="H89" s="30"/>
      <c r="I89" s="30"/>
      <c r="J89" s="30"/>
      <c r="K89" s="30"/>
      <c r="L89" s="30"/>
      <c r="M89" s="30"/>
      <c r="N89" s="30"/>
      <c r="O89" s="30"/>
      <c r="P89" s="30"/>
      <c r="Q89" s="30"/>
      <c r="R89" s="30"/>
      <c r="S89" s="30"/>
    </row>
    <row r="90" spans="2:19" x14ac:dyDescent="0.3">
      <c r="B90" s="29"/>
      <c r="C90" s="29"/>
      <c r="D90" s="29"/>
      <c r="E90" s="67"/>
      <c r="F90" s="30"/>
      <c r="G90" s="30"/>
      <c r="H90" s="30"/>
      <c r="I90" s="30"/>
      <c r="J90" s="30"/>
      <c r="K90" s="30"/>
      <c r="L90" s="30"/>
      <c r="M90" s="30"/>
      <c r="N90" s="30"/>
      <c r="O90" s="30"/>
      <c r="P90" s="30"/>
      <c r="Q90" s="30"/>
      <c r="R90" s="30"/>
      <c r="S90" s="30"/>
    </row>
    <row r="91" spans="2:19" x14ac:dyDescent="0.3">
      <c r="B91" s="29"/>
      <c r="C91" s="29"/>
      <c r="D91" s="29"/>
      <c r="E91" s="67"/>
      <c r="F91" s="30"/>
      <c r="G91" s="30"/>
      <c r="H91" s="30"/>
      <c r="I91" s="30"/>
      <c r="J91" s="30"/>
      <c r="K91" s="30"/>
      <c r="L91" s="30"/>
      <c r="M91" s="30"/>
      <c r="N91" s="30"/>
      <c r="O91" s="30"/>
      <c r="P91" s="30"/>
      <c r="Q91" s="30"/>
      <c r="R91" s="30"/>
      <c r="S91" s="30"/>
    </row>
    <row r="92" spans="2:19" x14ac:dyDescent="0.3">
      <c r="B92" s="29"/>
      <c r="C92" s="29"/>
      <c r="D92" s="29"/>
      <c r="E92" s="67"/>
      <c r="F92" s="30"/>
      <c r="G92" s="30"/>
      <c r="H92" s="30"/>
      <c r="I92" s="30"/>
      <c r="J92" s="30"/>
      <c r="K92" s="30"/>
      <c r="L92" s="30"/>
      <c r="M92" s="30"/>
      <c r="N92" s="30"/>
      <c r="O92" s="30"/>
      <c r="P92" s="30"/>
      <c r="Q92" s="30"/>
      <c r="R92" s="30"/>
      <c r="S92" s="30"/>
    </row>
    <row r="93" spans="2:19" x14ac:dyDescent="0.3">
      <c r="B93" s="29"/>
      <c r="C93" s="29"/>
      <c r="D93" s="29"/>
      <c r="E93" s="67"/>
      <c r="F93" s="30"/>
      <c r="G93" s="30"/>
      <c r="H93" s="30"/>
      <c r="I93" s="30"/>
      <c r="J93" s="30"/>
      <c r="K93" s="30"/>
      <c r="L93" s="30"/>
      <c r="M93" s="30"/>
      <c r="N93" s="30"/>
      <c r="O93" s="30"/>
      <c r="P93" s="30"/>
      <c r="Q93" s="30"/>
      <c r="R93" s="30"/>
      <c r="S93" s="30"/>
    </row>
    <row r="94" spans="2:19" x14ac:dyDescent="0.3">
      <c r="B94" s="29"/>
      <c r="C94" s="29"/>
      <c r="D94" s="29"/>
      <c r="E94" s="67"/>
      <c r="F94" s="30"/>
      <c r="G94" s="30"/>
      <c r="H94" s="30"/>
      <c r="I94" s="30"/>
      <c r="J94" s="30"/>
      <c r="K94" s="30"/>
      <c r="L94" s="30"/>
      <c r="M94" s="30"/>
      <c r="N94" s="30"/>
      <c r="O94" s="30"/>
      <c r="P94" s="30"/>
      <c r="Q94" s="30"/>
      <c r="R94" s="30"/>
      <c r="S94" s="30"/>
    </row>
    <row r="95" spans="2:19" x14ac:dyDescent="0.3">
      <c r="B95" s="29"/>
      <c r="C95" s="29"/>
      <c r="D95" s="29"/>
      <c r="E95" s="67"/>
      <c r="F95" s="30"/>
      <c r="G95" s="30"/>
      <c r="H95" s="30"/>
      <c r="I95" s="30"/>
      <c r="J95" s="30"/>
      <c r="K95" s="30"/>
      <c r="L95" s="30"/>
      <c r="M95" s="30"/>
      <c r="N95" s="30"/>
      <c r="O95" s="30"/>
      <c r="P95" s="30"/>
      <c r="Q95" s="30"/>
      <c r="R95" s="30"/>
      <c r="S95" s="30"/>
    </row>
    <row r="96" spans="2:19" x14ac:dyDescent="0.3">
      <c r="B96" s="29"/>
      <c r="C96" s="29"/>
      <c r="D96" s="29"/>
      <c r="E96" s="67"/>
      <c r="F96" s="30"/>
      <c r="G96" s="30"/>
      <c r="H96" s="30"/>
      <c r="I96" s="30"/>
      <c r="J96" s="30"/>
      <c r="K96" s="30"/>
      <c r="L96" s="30"/>
      <c r="M96" s="30"/>
      <c r="N96" s="30"/>
      <c r="O96" s="30"/>
      <c r="P96" s="30"/>
      <c r="Q96" s="30"/>
      <c r="R96" s="30"/>
      <c r="S96" s="30"/>
    </row>
    <row r="97" spans="2:19" x14ac:dyDescent="0.3">
      <c r="B97" s="29"/>
      <c r="C97" s="29"/>
      <c r="D97" s="29"/>
      <c r="E97" s="67"/>
      <c r="F97" s="30"/>
      <c r="G97" s="30"/>
      <c r="H97" s="30"/>
      <c r="I97" s="30"/>
      <c r="J97" s="30"/>
      <c r="K97" s="30"/>
      <c r="L97" s="30"/>
      <c r="M97" s="30"/>
      <c r="N97" s="30"/>
      <c r="O97" s="30"/>
      <c r="P97" s="30"/>
      <c r="Q97" s="30"/>
      <c r="R97" s="30"/>
      <c r="S97" s="30"/>
    </row>
    <row r="98" spans="2:19" x14ac:dyDescent="0.3">
      <c r="B98" s="29"/>
      <c r="C98" s="29"/>
      <c r="D98" s="29"/>
      <c r="E98" s="67"/>
      <c r="F98" s="30"/>
      <c r="G98" s="30"/>
      <c r="H98" s="30"/>
      <c r="I98" s="30"/>
      <c r="J98" s="30"/>
      <c r="K98" s="30"/>
      <c r="L98" s="30"/>
      <c r="M98" s="30"/>
      <c r="N98" s="30"/>
      <c r="O98" s="30"/>
      <c r="P98" s="30"/>
      <c r="Q98" s="30"/>
      <c r="R98" s="30"/>
      <c r="S98" s="30"/>
    </row>
    <row r="99" spans="2:19" x14ac:dyDescent="0.3">
      <c r="B99" s="29"/>
      <c r="C99" s="29"/>
      <c r="D99" s="29"/>
      <c r="E99" s="67"/>
      <c r="F99" s="30"/>
      <c r="G99" s="30"/>
      <c r="H99" s="30"/>
      <c r="I99" s="30"/>
      <c r="J99" s="30"/>
      <c r="K99" s="30"/>
      <c r="L99" s="30"/>
      <c r="M99" s="30"/>
      <c r="N99" s="30"/>
      <c r="O99" s="30"/>
      <c r="P99" s="30"/>
      <c r="Q99" s="30"/>
      <c r="R99" s="30"/>
      <c r="S99" s="30"/>
    </row>
    <row r="100" spans="2:19" x14ac:dyDescent="0.3">
      <c r="B100" s="29"/>
      <c r="C100" s="29"/>
      <c r="D100" s="29"/>
      <c r="E100" s="67"/>
      <c r="F100" s="30"/>
      <c r="G100" s="30"/>
      <c r="H100" s="30"/>
      <c r="I100" s="30"/>
      <c r="J100" s="30"/>
      <c r="K100" s="30"/>
      <c r="L100" s="30"/>
      <c r="M100" s="30"/>
      <c r="N100" s="30"/>
      <c r="O100" s="30"/>
      <c r="P100" s="30"/>
      <c r="Q100" s="30"/>
      <c r="R100" s="30"/>
      <c r="S100" s="30"/>
    </row>
    <row r="101" spans="2:19" x14ac:dyDescent="0.3">
      <c r="B101" s="29"/>
      <c r="C101" s="29"/>
      <c r="D101" s="29"/>
      <c r="E101" s="67"/>
      <c r="F101" s="30"/>
      <c r="G101" s="30"/>
      <c r="H101" s="30"/>
      <c r="I101" s="30"/>
      <c r="J101" s="30"/>
      <c r="K101" s="30"/>
      <c r="L101" s="30"/>
      <c r="M101" s="30"/>
      <c r="N101" s="30"/>
      <c r="O101" s="30"/>
      <c r="P101" s="30"/>
      <c r="Q101" s="30"/>
      <c r="R101" s="30"/>
      <c r="S101" s="30"/>
    </row>
    <row r="102" spans="2:19" x14ac:dyDescent="0.3">
      <c r="B102" s="29"/>
      <c r="C102" s="29"/>
      <c r="D102" s="29"/>
      <c r="E102" s="67"/>
      <c r="F102" s="30"/>
      <c r="G102" s="30"/>
      <c r="H102" s="30"/>
      <c r="I102" s="30"/>
      <c r="J102" s="30"/>
      <c r="K102" s="30"/>
      <c r="L102" s="30"/>
      <c r="M102" s="30"/>
      <c r="N102" s="30"/>
      <c r="O102" s="30"/>
      <c r="P102" s="30"/>
      <c r="Q102" s="30"/>
      <c r="R102" s="30"/>
      <c r="S102" s="30"/>
    </row>
    <row r="103" spans="2:19" x14ac:dyDescent="0.3">
      <c r="B103" s="29"/>
      <c r="C103" s="29"/>
      <c r="D103" s="29"/>
      <c r="E103" s="67"/>
      <c r="F103" s="30"/>
      <c r="G103" s="30"/>
      <c r="H103" s="30"/>
      <c r="I103" s="30"/>
      <c r="J103" s="30"/>
      <c r="K103" s="30"/>
      <c r="L103" s="30"/>
      <c r="M103" s="30"/>
      <c r="N103" s="30"/>
      <c r="O103" s="30"/>
      <c r="P103" s="30"/>
      <c r="Q103" s="30"/>
      <c r="R103" s="30"/>
      <c r="S103" s="30"/>
    </row>
    <row r="104" spans="2:19" x14ac:dyDescent="0.3">
      <c r="B104" s="29"/>
      <c r="C104" s="29"/>
      <c r="D104" s="29"/>
      <c r="E104" s="67"/>
      <c r="F104" s="30"/>
      <c r="G104" s="30"/>
      <c r="H104" s="30"/>
      <c r="I104" s="30"/>
      <c r="J104" s="30"/>
      <c r="K104" s="30"/>
      <c r="L104" s="30"/>
      <c r="M104" s="30"/>
      <c r="N104" s="30"/>
      <c r="O104" s="30"/>
      <c r="P104" s="30"/>
      <c r="Q104" s="30"/>
      <c r="R104" s="30"/>
      <c r="S104" s="30"/>
    </row>
    <row r="105" spans="2:19" x14ac:dyDescent="0.3">
      <c r="B105" s="29"/>
      <c r="C105" s="29"/>
      <c r="D105" s="29"/>
      <c r="E105" s="67"/>
      <c r="F105" s="30"/>
      <c r="G105" s="30"/>
      <c r="H105" s="30"/>
      <c r="I105" s="30"/>
      <c r="J105" s="30"/>
      <c r="K105" s="30"/>
      <c r="L105" s="30"/>
      <c r="M105" s="30"/>
      <c r="N105" s="30"/>
      <c r="O105" s="30"/>
      <c r="P105" s="30"/>
      <c r="Q105" s="30"/>
      <c r="R105" s="30"/>
      <c r="S105" s="30"/>
    </row>
    <row r="106" spans="2:19" x14ac:dyDescent="0.3">
      <c r="B106" s="29"/>
      <c r="C106" s="29"/>
      <c r="D106" s="29"/>
      <c r="E106" s="67"/>
      <c r="F106" s="30"/>
      <c r="G106" s="30"/>
      <c r="H106" s="30"/>
      <c r="I106" s="30"/>
      <c r="J106" s="30"/>
      <c r="K106" s="30"/>
      <c r="L106" s="30"/>
      <c r="M106" s="30"/>
      <c r="N106" s="30"/>
      <c r="O106" s="30"/>
      <c r="P106" s="30"/>
      <c r="Q106" s="30"/>
      <c r="R106" s="30"/>
      <c r="S106" s="30"/>
    </row>
    <row r="107" spans="2:19" x14ac:dyDescent="0.3">
      <c r="B107" s="29"/>
      <c r="C107" s="29"/>
      <c r="D107" s="29"/>
      <c r="E107" s="67"/>
      <c r="F107" s="30"/>
      <c r="G107" s="30"/>
      <c r="H107" s="30"/>
      <c r="I107" s="30"/>
      <c r="J107" s="30"/>
      <c r="K107" s="30"/>
      <c r="L107" s="30"/>
      <c r="M107" s="30"/>
      <c r="N107" s="30"/>
      <c r="O107" s="30"/>
      <c r="P107" s="30"/>
      <c r="Q107" s="30"/>
      <c r="R107" s="30"/>
      <c r="S107" s="30"/>
    </row>
    <row r="108" spans="2:19" x14ac:dyDescent="0.3">
      <c r="B108" s="29"/>
      <c r="C108" s="29"/>
      <c r="D108" s="29"/>
      <c r="E108" s="67"/>
      <c r="F108" s="30"/>
      <c r="G108" s="30"/>
      <c r="H108" s="30"/>
      <c r="I108" s="30"/>
      <c r="J108" s="30"/>
      <c r="K108" s="30"/>
      <c r="L108" s="30"/>
      <c r="M108" s="30"/>
      <c r="N108" s="30"/>
      <c r="O108" s="30"/>
      <c r="P108" s="30"/>
      <c r="Q108" s="30"/>
      <c r="R108" s="30"/>
      <c r="S108" s="30"/>
    </row>
    <row r="109" spans="2:19" x14ac:dyDescent="0.3">
      <c r="B109" s="29"/>
      <c r="C109" s="29"/>
      <c r="D109" s="29"/>
      <c r="E109" s="67"/>
      <c r="F109" s="30"/>
      <c r="G109" s="30"/>
      <c r="H109" s="30"/>
      <c r="I109" s="30"/>
      <c r="J109" s="30"/>
      <c r="K109" s="30"/>
      <c r="L109" s="30"/>
      <c r="M109" s="30"/>
      <c r="N109" s="30"/>
      <c r="O109" s="30"/>
      <c r="P109" s="30"/>
      <c r="Q109" s="30"/>
      <c r="R109" s="30"/>
      <c r="S109" s="30"/>
    </row>
    <row r="110" spans="2:19" x14ac:dyDescent="0.3">
      <c r="B110" s="29"/>
      <c r="C110" s="29"/>
      <c r="D110" s="29"/>
      <c r="E110" s="67"/>
      <c r="F110" s="30"/>
      <c r="G110" s="30"/>
      <c r="H110" s="30"/>
      <c r="I110" s="30"/>
      <c r="J110" s="30"/>
      <c r="K110" s="30"/>
      <c r="L110" s="30"/>
      <c r="M110" s="30"/>
      <c r="N110" s="30"/>
      <c r="O110" s="30"/>
      <c r="P110" s="30"/>
      <c r="Q110" s="30"/>
      <c r="R110" s="30"/>
      <c r="S110" s="30"/>
    </row>
    <row r="111" spans="2:19" x14ac:dyDescent="0.3">
      <c r="B111" s="29"/>
      <c r="C111" s="29"/>
      <c r="D111" s="29"/>
      <c r="E111" s="67"/>
      <c r="F111" s="30"/>
      <c r="G111" s="30"/>
      <c r="H111" s="30"/>
      <c r="I111" s="30"/>
      <c r="J111" s="30"/>
      <c r="K111" s="30"/>
      <c r="L111" s="30"/>
      <c r="M111" s="30"/>
      <c r="N111" s="30"/>
      <c r="O111" s="30"/>
      <c r="P111" s="30"/>
      <c r="Q111" s="30"/>
      <c r="R111" s="30"/>
      <c r="S111" s="30"/>
    </row>
    <row r="112" spans="2:19" x14ac:dyDescent="0.3">
      <c r="B112" s="29"/>
      <c r="C112" s="29"/>
      <c r="D112" s="29"/>
      <c r="E112" s="67"/>
      <c r="F112" s="30"/>
      <c r="G112" s="30"/>
      <c r="H112" s="30"/>
      <c r="I112" s="30"/>
      <c r="J112" s="30"/>
      <c r="K112" s="30"/>
      <c r="L112" s="30"/>
      <c r="M112" s="30"/>
      <c r="N112" s="30"/>
      <c r="O112" s="30"/>
      <c r="P112" s="30"/>
      <c r="Q112" s="30"/>
      <c r="R112" s="30"/>
      <c r="S112" s="30"/>
    </row>
    <row r="113" spans="2:19" x14ac:dyDescent="0.3">
      <c r="B113" s="29"/>
      <c r="C113" s="29"/>
      <c r="D113" s="29"/>
      <c r="E113" s="67"/>
      <c r="F113" s="30"/>
      <c r="G113" s="30"/>
      <c r="H113" s="30"/>
      <c r="I113" s="30"/>
      <c r="J113" s="30"/>
      <c r="K113" s="30"/>
      <c r="L113" s="30"/>
      <c r="M113" s="30"/>
      <c r="N113" s="30"/>
      <c r="O113" s="30"/>
      <c r="P113" s="30"/>
      <c r="Q113" s="30"/>
      <c r="R113" s="30"/>
      <c r="S113" s="30"/>
    </row>
    <row r="114" spans="2:19" x14ac:dyDescent="0.3">
      <c r="B114" s="29"/>
      <c r="C114" s="29"/>
      <c r="D114" s="29"/>
      <c r="E114" s="67"/>
      <c r="F114" s="30"/>
      <c r="G114" s="30"/>
      <c r="H114" s="30"/>
      <c r="I114" s="30"/>
      <c r="J114" s="30"/>
      <c r="K114" s="30"/>
      <c r="L114" s="30"/>
      <c r="M114" s="30"/>
      <c r="N114" s="30"/>
      <c r="O114" s="30"/>
      <c r="P114" s="30"/>
      <c r="Q114" s="30"/>
      <c r="R114" s="30"/>
      <c r="S114" s="30"/>
    </row>
    <row r="115" spans="2:19" x14ac:dyDescent="0.3">
      <c r="B115" s="29"/>
      <c r="C115" s="29"/>
      <c r="D115" s="29"/>
      <c r="E115" s="67"/>
      <c r="F115" s="30"/>
      <c r="G115" s="30"/>
      <c r="H115" s="30"/>
      <c r="I115" s="30"/>
      <c r="J115" s="30"/>
      <c r="K115" s="30"/>
      <c r="L115" s="30"/>
      <c r="M115" s="30"/>
      <c r="N115" s="30"/>
      <c r="O115" s="30"/>
      <c r="P115" s="30"/>
      <c r="Q115" s="30"/>
      <c r="R115" s="30"/>
      <c r="S115" s="30"/>
    </row>
    <row r="116" spans="2:19" x14ac:dyDescent="0.3">
      <c r="B116" s="29"/>
      <c r="C116" s="29"/>
      <c r="D116" s="29"/>
      <c r="E116" s="67"/>
      <c r="F116" s="30"/>
      <c r="G116" s="30"/>
      <c r="H116" s="30"/>
      <c r="I116" s="30"/>
      <c r="J116" s="30"/>
      <c r="K116" s="30"/>
      <c r="L116" s="30"/>
      <c r="M116" s="30"/>
      <c r="N116" s="30"/>
      <c r="O116" s="30"/>
      <c r="P116" s="30"/>
      <c r="Q116" s="30"/>
      <c r="R116" s="30"/>
      <c r="S116" s="30"/>
    </row>
    <row r="117" spans="2:19" x14ac:dyDescent="0.3">
      <c r="B117" s="29"/>
      <c r="C117" s="29"/>
      <c r="D117" s="29"/>
      <c r="E117" s="67"/>
      <c r="F117" s="30"/>
      <c r="G117" s="30"/>
      <c r="H117" s="30"/>
      <c r="I117" s="30"/>
      <c r="J117" s="30"/>
      <c r="K117" s="30"/>
      <c r="L117" s="30"/>
      <c r="M117" s="30"/>
      <c r="N117" s="30"/>
      <c r="O117" s="30"/>
      <c r="P117" s="30"/>
      <c r="Q117" s="30"/>
      <c r="R117" s="30"/>
      <c r="S117" s="30"/>
    </row>
    <row r="118" spans="2:19" x14ac:dyDescent="0.3">
      <c r="B118" s="29"/>
      <c r="C118" s="29"/>
      <c r="D118" s="29"/>
      <c r="E118" s="67"/>
      <c r="F118" s="30"/>
      <c r="G118" s="30"/>
      <c r="H118" s="30"/>
      <c r="I118" s="30"/>
      <c r="J118" s="30"/>
      <c r="K118" s="30"/>
      <c r="L118" s="30"/>
      <c r="M118" s="30"/>
      <c r="N118" s="30"/>
      <c r="O118" s="30"/>
      <c r="P118" s="30"/>
      <c r="Q118" s="30"/>
      <c r="R118" s="30"/>
      <c r="S118" s="30"/>
    </row>
    <row r="119" spans="2:19" x14ac:dyDescent="0.3">
      <c r="B119" s="29"/>
      <c r="C119" s="29"/>
      <c r="D119" s="29"/>
      <c r="E119" s="67"/>
      <c r="F119" s="30"/>
      <c r="G119" s="30"/>
      <c r="H119" s="30"/>
      <c r="I119" s="30"/>
      <c r="J119" s="30"/>
      <c r="K119" s="30"/>
      <c r="L119" s="30"/>
      <c r="M119" s="30"/>
      <c r="N119" s="30"/>
      <c r="O119" s="30"/>
      <c r="P119" s="30"/>
      <c r="Q119" s="30"/>
      <c r="R119" s="30"/>
      <c r="S119" s="30"/>
    </row>
    <row r="120" spans="2:19" x14ac:dyDescent="0.3">
      <c r="B120" s="29"/>
      <c r="C120" s="29"/>
      <c r="D120" s="29"/>
      <c r="E120" s="67"/>
      <c r="F120" s="30"/>
      <c r="G120" s="30"/>
      <c r="H120" s="30"/>
      <c r="I120" s="30"/>
      <c r="J120" s="30"/>
      <c r="K120" s="30"/>
      <c r="L120" s="30"/>
      <c r="M120" s="30"/>
      <c r="N120" s="30"/>
      <c r="O120" s="30"/>
      <c r="P120" s="30"/>
      <c r="Q120" s="30"/>
      <c r="R120" s="30"/>
      <c r="S120" s="30"/>
    </row>
    <row r="121" spans="2:19" x14ac:dyDescent="0.3">
      <c r="B121" s="29"/>
      <c r="C121" s="29"/>
      <c r="D121" s="29"/>
      <c r="E121" s="67"/>
      <c r="F121" s="30"/>
      <c r="G121" s="30"/>
      <c r="H121" s="30"/>
      <c r="I121" s="30"/>
      <c r="J121" s="30"/>
      <c r="K121" s="30"/>
      <c r="L121" s="30"/>
      <c r="M121" s="30"/>
      <c r="N121" s="30"/>
      <c r="O121" s="30"/>
      <c r="P121" s="30"/>
      <c r="Q121" s="30"/>
      <c r="R121" s="30"/>
      <c r="S121" s="30"/>
    </row>
    <row r="122" spans="2:19" x14ac:dyDescent="0.3">
      <c r="B122" s="29"/>
      <c r="C122" s="29"/>
      <c r="D122" s="29"/>
      <c r="E122" s="67"/>
      <c r="F122" s="30"/>
      <c r="G122" s="30"/>
      <c r="H122" s="30"/>
      <c r="I122" s="30"/>
      <c r="J122" s="30"/>
      <c r="K122" s="30"/>
      <c r="L122" s="30"/>
      <c r="M122" s="30"/>
      <c r="N122" s="30"/>
      <c r="O122" s="30"/>
      <c r="P122" s="30"/>
      <c r="Q122" s="30"/>
      <c r="R122" s="30"/>
      <c r="S122" s="30"/>
    </row>
    <row r="123" spans="2:19" x14ac:dyDescent="0.3">
      <c r="B123" s="29"/>
      <c r="C123" s="29"/>
      <c r="D123" s="29"/>
      <c r="E123" s="67"/>
      <c r="F123" s="30"/>
      <c r="G123" s="30"/>
      <c r="H123" s="30"/>
      <c r="I123" s="30"/>
      <c r="J123" s="30"/>
      <c r="K123" s="30"/>
      <c r="L123" s="30"/>
      <c r="M123" s="30"/>
      <c r="N123" s="30"/>
      <c r="O123" s="30"/>
      <c r="P123" s="30"/>
      <c r="Q123" s="30"/>
      <c r="R123" s="30"/>
      <c r="S123" s="30"/>
    </row>
    <row r="124" spans="2:19" x14ac:dyDescent="0.3">
      <c r="B124" s="29"/>
      <c r="C124" s="29"/>
      <c r="D124" s="29"/>
      <c r="E124" s="67"/>
      <c r="F124" s="30"/>
      <c r="G124" s="30"/>
      <c r="H124" s="30"/>
      <c r="I124" s="30"/>
      <c r="J124" s="30"/>
      <c r="K124" s="30"/>
      <c r="L124" s="30"/>
      <c r="M124" s="30"/>
      <c r="N124" s="30"/>
      <c r="O124" s="30"/>
      <c r="P124" s="30"/>
      <c r="Q124" s="30"/>
      <c r="R124" s="30"/>
      <c r="S124" s="30"/>
    </row>
    <row r="125" spans="2:19" x14ac:dyDescent="0.3">
      <c r="B125" s="29"/>
      <c r="C125" s="29"/>
      <c r="D125" s="29"/>
      <c r="E125" s="67"/>
      <c r="F125" s="30"/>
      <c r="G125" s="30"/>
      <c r="H125" s="30"/>
      <c r="I125" s="30"/>
      <c r="J125" s="30"/>
      <c r="K125" s="30"/>
      <c r="L125" s="30"/>
      <c r="M125" s="30"/>
      <c r="N125" s="30"/>
      <c r="O125" s="30"/>
      <c r="P125" s="30"/>
      <c r="Q125" s="30"/>
      <c r="R125" s="30"/>
      <c r="S125" s="30"/>
    </row>
    <row r="126" spans="2:19" x14ac:dyDescent="0.3">
      <c r="B126" s="29"/>
      <c r="C126" s="29"/>
      <c r="D126" s="29"/>
      <c r="E126" s="67"/>
      <c r="F126" s="30"/>
      <c r="G126" s="30"/>
      <c r="H126" s="30"/>
      <c r="I126" s="30"/>
      <c r="J126" s="30"/>
      <c r="K126" s="30"/>
      <c r="L126" s="30"/>
      <c r="M126" s="30"/>
      <c r="N126" s="30"/>
      <c r="O126" s="30"/>
      <c r="P126" s="30"/>
      <c r="Q126" s="30"/>
      <c r="R126" s="30"/>
      <c r="S126" s="30"/>
    </row>
    <row r="127" spans="2:19" x14ac:dyDescent="0.3">
      <c r="B127" s="29"/>
      <c r="C127" s="29"/>
      <c r="D127" s="29"/>
      <c r="E127" s="67"/>
      <c r="F127" s="30"/>
      <c r="G127" s="30"/>
      <c r="H127" s="30"/>
      <c r="I127" s="30"/>
      <c r="J127" s="30"/>
      <c r="K127" s="30"/>
      <c r="L127" s="30"/>
      <c r="M127" s="30"/>
      <c r="N127" s="30"/>
      <c r="O127" s="30"/>
      <c r="P127" s="30"/>
      <c r="Q127" s="30"/>
      <c r="R127" s="30"/>
      <c r="S127" s="30"/>
    </row>
    <row r="128" spans="2:19" x14ac:dyDescent="0.3">
      <c r="B128" s="29"/>
      <c r="C128" s="29"/>
      <c r="D128" s="29"/>
      <c r="E128" s="67"/>
      <c r="F128" s="30"/>
      <c r="G128" s="30"/>
      <c r="H128" s="30"/>
      <c r="I128" s="30"/>
      <c r="J128" s="30"/>
      <c r="K128" s="30"/>
      <c r="L128" s="30"/>
      <c r="M128" s="30"/>
      <c r="N128" s="30"/>
      <c r="O128" s="30"/>
      <c r="P128" s="30"/>
      <c r="Q128" s="30"/>
      <c r="R128" s="30"/>
      <c r="S128" s="30"/>
    </row>
    <row r="129" spans="2:19" x14ac:dyDescent="0.3">
      <c r="B129" s="29"/>
      <c r="C129" s="29"/>
      <c r="D129" s="29"/>
      <c r="E129" s="67"/>
      <c r="F129" s="30"/>
      <c r="G129" s="30"/>
      <c r="H129" s="30"/>
      <c r="I129" s="30"/>
      <c r="J129" s="30"/>
      <c r="K129" s="30"/>
      <c r="L129" s="30"/>
      <c r="M129" s="30"/>
      <c r="N129" s="30"/>
      <c r="O129" s="30"/>
      <c r="P129" s="30"/>
      <c r="Q129" s="30"/>
      <c r="R129" s="30"/>
      <c r="S129" s="30"/>
    </row>
    <row r="130" spans="2:19" x14ac:dyDescent="0.3">
      <c r="B130" s="29"/>
      <c r="C130" s="29"/>
      <c r="D130" s="29"/>
      <c r="E130" s="67"/>
      <c r="F130" s="30"/>
      <c r="G130" s="30"/>
      <c r="H130" s="30"/>
      <c r="I130" s="30"/>
      <c r="J130" s="30"/>
      <c r="K130" s="30"/>
      <c r="L130" s="30"/>
      <c r="M130" s="30"/>
      <c r="N130" s="30"/>
      <c r="O130" s="30"/>
      <c r="P130" s="30"/>
      <c r="Q130" s="30"/>
      <c r="R130" s="30"/>
      <c r="S130" s="30"/>
    </row>
    <row r="131" spans="2:19" x14ac:dyDescent="0.3">
      <c r="B131" s="29"/>
      <c r="C131" s="29"/>
      <c r="D131" s="29"/>
      <c r="E131" s="67"/>
      <c r="F131" s="30"/>
      <c r="G131" s="30"/>
      <c r="H131" s="30"/>
      <c r="I131" s="30"/>
      <c r="J131" s="30"/>
      <c r="K131" s="30"/>
      <c r="L131" s="30"/>
      <c r="M131" s="30"/>
      <c r="N131" s="30"/>
      <c r="O131" s="30"/>
      <c r="P131" s="30"/>
      <c r="Q131" s="30"/>
      <c r="R131" s="30"/>
      <c r="S131" s="30"/>
    </row>
    <row r="132" spans="2:19" x14ac:dyDescent="0.3">
      <c r="B132" s="29"/>
      <c r="C132" s="29"/>
      <c r="D132" s="29"/>
      <c r="E132" s="67"/>
      <c r="F132" s="30"/>
      <c r="G132" s="30"/>
      <c r="H132" s="30"/>
      <c r="I132" s="30"/>
      <c r="J132" s="30"/>
      <c r="K132" s="30"/>
      <c r="L132" s="30"/>
      <c r="M132" s="30"/>
      <c r="N132" s="30"/>
      <c r="O132" s="30"/>
      <c r="P132" s="30"/>
      <c r="Q132" s="30"/>
      <c r="R132" s="30"/>
      <c r="S132" s="30"/>
    </row>
    <row r="133" spans="2:19" x14ac:dyDescent="0.3">
      <c r="B133" s="29"/>
      <c r="C133" s="29"/>
      <c r="D133" s="29"/>
      <c r="E133" s="67"/>
      <c r="F133" s="30"/>
      <c r="G133" s="30"/>
      <c r="H133" s="30"/>
      <c r="I133" s="30"/>
      <c r="J133" s="30"/>
      <c r="K133" s="30"/>
      <c r="L133" s="30"/>
      <c r="M133" s="30"/>
      <c r="N133" s="30"/>
      <c r="O133" s="30"/>
      <c r="P133" s="30"/>
      <c r="Q133" s="30"/>
      <c r="R133" s="30"/>
      <c r="S133" s="30"/>
    </row>
    <row r="134" spans="2:19" x14ac:dyDescent="0.3">
      <c r="B134" s="29"/>
      <c r="C134" s="29"/>
      <c r="D134" s="29"/>
      <c r="E134" s="67"/>
      <c r="F134" s="30"/>
      <c r="G134" s="30"/>
      <c r="H134" s="30"/>
      <c r="I134" s="30"/>
      <c r="J134" s="30"/>
      <c r="K134" s="30"/>
      <c r="L134" s="30"/>
      <c r="M134" s="30"/>
      <c r="N134" s="30"/>
      <c r="O134" s="30"/>
      <c r="P134" s="30"/>
      <c r="Q134" s="30"/>
      <c r="R134" s="30"/>
      <c r="S134" s="30"/>
    </row>
    <row r="135" spans="2:19" x14ac:dyDescent="0.3">
      <c r="B135" s="29"/>
      <c r="C135" s="29"/>
      <c r="D135" s="29"/>
      <c r="E135" s="67"/>
      <c r="F135" s="30"/>
      <c r="G135" s="30"/>
      <c r="H135" s="30"/>
      <c r="I135" s="30"/>
      <c r="J135" s="30"/>
      <c r="K135" s="30"/>
      <c r="L135" s="30"/>
      <c r="M135" s="30"/>
      <c r="N135" s="30"/>
      <c r="O135" s="30"/>
      <c r="P135" s="30"/>
      <c r="Q135" s="30"/>
      <c r="R135" s="30"/>
      <c r="S135" s="30"/>
    </row>
    <row r="136" spans="2:19" x14ac:dyDescent="0.3">
      <c r="B136" s="29"/>
      <c r="C136" s="29"/>
      <c r="D136" s="29"/>
      <c r="E136" s="67"/>
      <c r="F136" s="30"/>
      <c r="G136" s="30"/>
      <c r="H136" s="30"/>
      <c r="I136" s="30"/>
      <c r="J136" s="30"/>
      <c r="K136" s="30"/>
      <c r="L136" s="30"/>
      <c r="M136" s="30"/>
      <c r="N136" s="30"/>
      <c r="O136" s="30"/>
      <c r="P136" s="30"/>
      <c r="Q136" s="30"/>
      <c r="R136" s="30"/>
      <c r="S136" s="30"/>
    </row>
    <row r="137" spans="2:19" x14ac:dyDescent="0.3">
      <c r="B137" s="29"/>
      <c r="C137" s="29"/>
      <c r="D137" s="29"/>
      <c r="E137" s="67"/>
      <c r="F137" s="30"/>
      <c r="G137" s="30"/>
      <c r="H137" s="30"/>
      <c r="I137" s="30"/>
      <c r="J137" s="30"/>
      <c r="K137" s="30"/>
      <c r="L137" s="30"/>
      <c r="M137" s="30"/>
      <c r="N137" s="30"/>
      <c r="O137" s="30"/>
      <c r="P137" s="30"/>
      <c r="Q137" s="30"/>
      <c r="R137" s="30"/>
      <c r="S137" s="30"/>
    </row>
    <row r="138" spans="2:19" x14ac:dyDescent="0.3">
      <c r="B138" s="29"/>
      <c r="C138" s="29"/>
      <c r="D138" s="29"/>
      <c r="E138" s="67"/>
      <c r="F138" s="30"/>
      <c r="G138" s="30"/>
      <c r="H138" s="30"/>
      <c r="I138" s="30"/>
      <c r="J138" s="30"/>
      <c r="K138" s="30"/>
      <c r="L138" s="30"/>
      <c r="M138" s="30"/>
      <c r="N138" s="30"/>
      <c r="O138" s="30"/>
      <c r="P138" s="30"/>
      <c r="Q138" s="30"/>
      <c r="R138" s="30"/>
      <c r="S138" s="30"/>
    </row>
    <row r="139" spans="2:19" x14ac:dyDescent="0.3">
      <c r="B139" s="29"/>
      <c r="C139" s="29"/>
      <c r="D139" s="29"/>
      <c r="E139" s="67"/>
      <c r="F139" s="30"/>
      <c r="G139" s="30"/>
      <c r="H139" s="30"/>
      <c r="I139" s="30"/>
      <c r="J139" s="30"/>
      <c r="K139" s="30"/>
      <c r="L139" s="30"/>
      <c r="M139" s="30"/>
      <c r="N139" s="30"/>
      <c r="O139" s="30"/>
      <c r="P139" s="30"/>
      <c r="Q139" s="30"/>
      <c r="R139" s="30"/>
      <c r="S139" s="30"/>
    </row>
    <row r="140" spans="2:19" x14ac:dyDescent="0.3">
      <c r="B140" s="29"/>
      <c r="C140" s="29"/>
      <c r="D140" s="29"/>
      <c r="E140" s="67"/>
      <c r="F140" s="30"/>
      <c r="G140" s="30"/>
      <c r="H140" s="30"/>
      <c r="I140" s="30"/>
      <c r="J140" s="30"/>
      <c r="K140" s="30"/>
      <c r="L140" s="30"/>
      <c r="M140" s="30"/>
      <c r="N140" s="30"/>
      <c r="O140" s="30"/>
      <c r="P140" s="30"/>
      <c r="Q140" s="30"/>
      <c r="R140" s="30"/>
      <c r="S140" s="30"/>
    </row>
    <row r="141" spans="2:19" x14ac:dyDescent="0.3">
      <c r="B141" s="29"/>
      <c r="C141" s="29"/>
      <c r="D141" s="29"/>
      <c r="E141" s="67"/>
      <c r="F141" s="30"/>
      <c r="G141" s="30"/>
      <c r="H141" s="30"/>
      <c r="I141" s="30"/>
      <c r="J141" s="30"/>
      <c r="K141" s="30"/>
      <c r="L141" s="30"/>
      <c r="M141" s="30"/>
      <c r="N141" s="30"/>
      <c r="O141" s="30"/>
      <c r="P141" s="30"/>
      <c r="Q141" s="30"/>
      <c r="R141" s="30"/>
      <c r="S141" s="30"/>
    </row>
    <row r="142" spans="2:19" x14ac:dyDescent="0.3">
      <c r="B142" s="29"/>
      <c r="C142" s="29"/>
      <c r="D142" s="29"/>
      <c r="E142" s="67"/>
      <c r="F142" s="30"/>
      <c r="G142" s="30"/>
      <c r="H142" s="30"/>
      <c r="I142" s="30"/>
      <c r="J142" s="30"/>
      <c r="K142" s="30"/>
      <c r="L142" s="30"/>
      <c r="M142" s="30"/>
      <c r="N142" s="30"/>
      <c r="O142" s="30"/>
      <c r="P142" s="30"/>
      <c r="Q142" s="30"/>
      <c r="R142" s="30"/>
      <c r="S142" s="30"/>
    </row>
    <row r="143" spans="2:19" x14ac:dyDescent="0.3">
      <c r="B143" s="29"/>
      <c r="C143" s="29"/>
      <c r="D143" s="29"/>
      <c r="E143" s="67"/>
      <c r="F143" s="30"/>
      <c r="G143" s="30"/>
      <c r="H143" s="30"/>
      <c r="I143" s="30"/>
      <c r="J143" s="30"/>
      <c r="K143" s="30"/>
      <c r="L143" s="30"/>
      <c r="M143" s="30"/>
      <c r="N143" s="30"/>
      <c r="O143" s="30"/>
      <c r="P143" s="30"/>
      <c r="Q143" s="30"/>
      <c r="R143" s="30"/>
      <c r="S143" s="30"/>
    </row>
    <row r="144" spans="2:19" x14ac:dyDescent="0.3">
      <c r="B144" s="29"/>
      <c r="C144" s="29"/>
      <c r="D144" s="29"/>
      <c r="E144" s="67"/>
      <c r="F144" s="30"/>
      <c r="G144" s="30"/>
      <c r="H144" s="30"/>
      <c r="I144" s="30"/>
      <c r="J144" s="30"/>
      <c r="K144" s="30"/>
      <c r="L144" s="30"/>
      <c r="M144" s="30"/>
      <c r="N144" s="30"/>
      <c r="O144" s="30"/>
      <c r="P144" s="30"/>
      <c r="Q144" s="30"/>
      <c r="R144" s="30"/>
      <c r="S144" s="30"/>
    </row>
    <row r="145" spans="2:19" x14ac:dyDescent="0.3">
      <c r="B145" s="29"/>
      <c r="C145" s="29"/>
      <c r="D145" s="29"/>
      <c r="E145" s="67"/>
      <c r="F145" s="30"/>
      <c r="G145" s="30"/>
      <c r="H145" s="30"/>
      <c r="I145" s="30"/>
      <c r="J145" s="30"/>
      <c r="K145" s="30"/>
      <c r="L145" s="30"/>
      <c r="M145" s="30"/>
      <c r="N145" s="30"/>
      <c r="O145" s="30"/>
      <c r="P145" s="30"/>
      <c r="Q145" s="30"/>
      <c r="R145" s="30"/>
      <c r="S145" s="30"/>
    </row>
    <row r="146" spans="2:19" x14ac:dyDescent="0.3">
      <c r="B146" s="29"/>
      <c r="C146" s="29"/>
      <c r="D146" s="29"/>
      <c r="E146" s="67"/>
      <c r="F146" s="30"/>
      <c r="G146" s="30"/>
      <c r="H146" s="30"/>
      <c r="I146" s="30"/>
      <c r="J146" s="30"/>
      <c r="K146" s="30"/>
      <c r="L146" s="30"/>
      <c r="M146" s="30"/>
      <c r="N146" s="30"/>
      <c r="O146" s="30"/>
      <c r="P146" s="30"/>
      <c r="Q146" s="30"/>
      <c r="R146" s="30"/>
      <c r="S146" s="30"/>
    </row>
    <row r="147" spans="2:19" x14ac:dyDescent="0.3">
      <c r="B147" s="29"/>
      <c r="C147" s="29"/>
      <c r="D147" s="29"/>
      <c r="E147" s="67"/>
      <c r="F147" s="30"/>
      <c r="G147" s="30"/>
      <c r="H147" s="30"/>
      <c r="I147" s="30"/>
      <c r="J147" s="30"/>
      <c r="K147" s="30"/>
      <c r="L147" s="30"/>
      <c r="M147" s="30"/>
      <c r="N147" s="30"/>
      <c r="O147" s="30"/>
      <c r="P147" s="30"/>
      <c r="Q147" s="30"/>
      <c r="R147" s="30"/>
      <c r="S147" s="30"/>
    </row>
    <row r="148" spans="2:19" x14ac:dyDescent="0.3">
      <c r="B148" s="29"/>
      <c r="C148" s="29"/>
      <c r="D148" s="29"/>
      <c r="E148" s="67"/>
      <c r="F148" s="30"/>
      <c r="G148" s="30"/>
      <c r="H148" s="30"/>
      <c r="I148" s="30"/>
      <c r="J148" s="30"/>
      <c r="K148" s="30"/>
      <c r="L148" s="30"/>
      <c r="M148" s="30"/>
      <c r="N148" s="30"/>
      <c r="O148" s="30"/>
      <c r="P148" s="30"/>
      <c r="Q148" s="30"/>
      <c r="R148" s="30"/>
      <c r="S148" s="30"/>
    </row>
    <row r="149" spans="2:19" x14ac:dyDescent="0.3">
      <c r="B149" s="29"/>
      <c r="C149" s="29"/>
      <c r="D149" s="29"/>
      <c r="E149" s="67"/>
      <c r="F149" s="30"/>
      <c r="G149" s="30"/>
      <c r="H149" s="30"/>
      <c r="I149" s="30"/>
      <c r="J149" s="30"/>
      <c r="K149" s="30"/>
      <c r="L149" s="30"/>
      <c r="M149" s="30"/>
      <c r="N149" s="30"/>
      <c r="O149" s="30"/>
      <c r="P149" s="30"/>
      <c r="Q149" s="30"/>
      <c r="R149" s="30"/>
      <c r="S149" s="30"/>
    </row>
    <row r="150" spans="2:19" x14ac:dyDescent="0.3">
      <c r="B150" s="29"/>
      <c r="C150" s="29"/>
      <c r="D150" s="29"/>
      <c r="E150" s="67"/>
      <c r="F150" s="30"/>
      <c r="G150" s="30"/>
      <c r="H150" s="30"/>
      <c r="I150" s="30"/>
      <c r="J150" s="30"/>
      <c r="K150" s="30"/>
      <c r="L150" s="30"/>
      <c r="M150" s="30"/>
      <c r="N150" s="30"/>
      <c r="O150" s="30"/>
      <c r="P150" s="30"/>
      <c r="Q150" s="30"/>
      <c r="R150" s="30"/>
      <c r="S150" s="30"/>
    </row>
    <row r="151" spans="2:19" x14ac:dyDescent="0.3">
      <c r="B151" s="29"/>
      <c r="C151" s="29"/>
      <c r="D151" s="29"/>
      <c r="E151" s="67"/>
      <c r="F151" s="30"/>
      <c r="G151" s="30"/>
      <c r="H151" s="30"/>
      <c r="I151" s="30"/>
      <c r="J151" s="30"/>
      <c r="K151" s="30"/>
      <c r="L151" s="30"/>
      <c r="M151" s="30"/>
      <c r="N151" s="30"/>
      <c r="O151" s="30"/>
      <c r="P151" s="30"/>
      <c r="Q151" s="30"/>
      <c r="R151" s="30"/>
      <c r="S151" s="30"/>
    </row>
    <row r="152" spans="2:19" x14ac:dyDescent="0.3">
      <c r="B152" s="29"/>
      <c r="C152" s="29"/>
      <c r="D152" s="29"/>
      <c r="E152" s="67"/>
      <c r="F152" s="30"/>
      <c r="G152" s="30"/>
      <c r="H152" s="30"/>
      <c r="I152" s="30"/>
      <c r="J152" s="30"/>
      <c r="K152" s="30"/>
      <c r="L152" s="30"/>
      <c r="M152" s="30"/>
      <c r="N152" s="30"/>
      <c r="O152" s="30"/>
      <c r="P152" s="30"/>
      <c r="Q152" s="30"/>
      <c r="R152" s="30"/>
      <c r="S152" s="30"/>
    </row>
    <row r="153" spans="2:19" x14ac:dyDescent="0.3">
      <c r="B153" s="29"/>
      <c r="C153" s="29"/>
      <c r="D153" s="29"/>
      <c r="E153" s="67"/>
      <c r="F153" s="30"/>
      <c r="G153" s="30"/>
      <c r="H153" s="30"/>
      <c r="I153" s="30"/>
      <c r="J153" s="30"/>
      <c r="K153" s="30"/>
      <c r="L153" s="30"/>
      <c r="M153" s="30"/>
      <c r="N153" s="30"/>
      <c r="O153" s="30"/>
      <c r="P153" s="30"/>
      <c r="Q153" s="30"/>
      <c r="R153" s="30"/>
      <c r="S153" s="30"/>
    </row>
    <row r="154" spans="2:19" x14ac:dyDescent="0.3">
      <c r="B154" s="29"/>
      <c r="C154" s="29"/>
      <c r="D154" s="29"/>
      <c r="E154" s="67"/>
      <c r="F154" s="30"/>
      <c r="G154" s="30"/>
      <c r="H154" s="30"/>
      <c r="I154" s="30"/>
      <c r="J154" s="30"/>
      <c r="K154" s="30"/>
      <c r="L154" s="30"/>
      <c r="M154" s="30"/>
      <c r="N154" s="30"/>
      <c r="O154" s="30"/>
      <c r="P154" s="30"/>
      <c r="Q154" s="30"/>
      <c r="R154" s="30"/>
      <c r="S154" s="30"/>
    </row>
    <row r="155" spans="2:19" x14ac:dyDescent="0.3">
      <c r="B155" s="29"/>
      <c r="C155" s="29"/>
      <c r="D155" s="29"/>
      <c r="E155" s="67"/>
      <c r="F155" s="30"/>
      <c r="G155" s="30"/>
      <c r="H155" s="30"/>
      <c r="I155" s="30"/>
      <c r="J155" s="30"/>
      <c r="K155" s="30"/>
      <c r="L155" s="30"/>
      <c r="M155" s="30"/>
      <c r="N155" s="30"/>
      <c r="O155" s="30"/>
      <c r="P155" s="30"/>
      <c r="Q155" s="30"/>
      <c r="R155" s="30"/>
      <c r="S155" s="30"/>
    </row>
    <row r="156" spans="2:19" x14ac:dyDescent="0.3">
      <c r="B156" s="29"/>
      <c r="C156" s="29"/>
      <c r="D156" s="29"/>
      <c r="E156" s="67"/>
      <c r="F156" s="30"/>
      <c r="G156" s="30"/>
      <c r="H156" s="30"/>
      <c r="I156" s="30"/>
      <c r="J156" s="30"/>
      <c r="K156" s="30"/>
      <c r="L156" s="30"/>
      <c r="M156" s="30"/>
      <c r="N156" s="30"/>
      <c r="O156" s="30"/>
      <c r="P156" s="30"/>
      <c r="Q156" s="30"/>
      <c r="R156" s="30"/>
      <c r="S156" s="30"/>
    </row>
    <row r="157" spans="2:19" x14ac:dyDescent="0.3">
      <c r="B157" s="29"/>
      <c r="C157" s="29"/>
      <c r="D157" s="29"/>
      <c r="E157" s="67"/>
      <c r="F157" s="30"/>
      <c r="G157" s="30"/>
      <c r="H157" s="30"/>
      <c r="I157" s="30"/>
      <c r="J157" s="30"/>
      <c r="K157" s="30"/>
      <c r="L157" s="30"/>
      <c r="M157" s="30"/>
      <c r="N157" s="30"/>
      <c r="O157" s="30"/>
      <c r="P157" s="30"/>
      <c r="Q157" s="30"/>
      <c r="R157" s="30"/>
      <c r="S157" s="30"/>
    </row>
    <row r="158" spans="2:19" x14ac:dyDescent="0.3">
      <c r="B158" s="29"/>
      <c r="C158" s="29"/>
      <c r="D158" s="29"/>
      <c r="E158" s="67"/>
      <c r="F158" s="30"/>
      <c r="G158" s="30"/>
      <c r="H158" s="30"/>
      <c r="I158" s="30"/>
      <c r="J158" s="30"/>
      <c r="K158" s="30"/>
      <c r="L158" s="30"/>
      <c r="M158" s="30"/>
      <c r="N158" s="30"/>
      <c r="O158" s="30"/>
      <c r="P158" s="30"/>
      <c r="Q158" s="30"/>
      <c r="R158" s="30"/>
      <c r="S158" s="30"/>
    </row>
    <row r="159" spans="2:19" x14ac:dyDescent="0.3">
      <c r="B159" s="29"/>
      <c r="C159" s="29"/>
      <c r="D159" s="29"/>
      <c r="E159" s="67"/>
      <c r="F159" s="30"/>
      <c r="G159" s="30"/>
      <c r="H159" s="30"/>
      <c r="I159" s="30"/>
      <c r="J159" s="30"/>
      <c r="K159" s="30"/>
      <c r="L159" s="30"/>
      <c r="M159" s="30"/>
      <c r="N159" s="30"/>
      <c r="O159" s="30"/>
      <c r="P159" s="30"/>
      <c r="Q159" s="30"/>
      <c r="R159" s="30"/>
      <c r="S159" s="30"/>
    </row>
    <row r="160" spans="2:19" x14ac:dyDescent="0.3">
      <c r="B160" s="29"/>
      <c r="C160" s="29"/>
      <c r="D160" s="29"/>
      <c r="E160" s="67"/>
      <c r="F160" s="30"/>
      <c r="G160" s="30"/>
      <c r="H160" s="30"/>
      <c r="I160" s="30"/>
      <c r="J160" s="30"/>
      <c r="K160" s="30"/>
      <c r="L160" s="30"/>
      <c r="M160" s="30"/>
      <c r="N160" s="30"/>
      <c r="O160" s="30"/>
      <c r="P160" s="30"/>
      <c r="Q160" s="30"/>
      <c r="R160" s="30"/>
      <c r="S160" s="30"/>
    </row>
    <row r="161" spans="2:19" x14ac:dyDescent="0.3">
      <c r="B161" s="29"/>
      <c r="C161" s="29"/>
      <c r="D161" s="29"/>
      <c r="E161" s="67"/>
      <c r="F161" s="30"/>
      <c r="G161" s="30"/>
      <c r="H161" s="30"/>
      <c r="I161" s="30"/>
      <c r="J161" s="30"/>
      <c r="K161" s="30"/>
      <c r="L161" s="30"/>
      <c r="M161" s="30"/>
      <c r="N161" s="30"/>
      <c r="O161" s="30"/>
      <c r="P161" s="30"/>
      <c r="Q161" s="30"/>
      <c r="R161" s="30"/>
      <c r="S161" s="30"/>
    </row>
    <row r="162" spans="2:19" x14ac:dyDescent="0.3">
      <c r="B162" s="29"/>
      <c r="C162" s="29"/>
      <c r="D162" s="29"/>
      <c r="E162" s="67"/>
      <c r="F162" s="30"/>
      <c r="G162" s="30"/>
      <c r="H162" s="30"/>
      <c r="I162" s="30"/>
      <c r="J162" s="30"/>
      <c r="K162" s="30"/>
      <c r="L162" s="30"/>
      <c r="M162" s="30"/>
      <c r="N162" s="30"/>
      <c r="O162" s="30"/>
      <c r="P162" s="30"/>
      <c r="Q162" s="30"/>
      <c r="R162" s="30"/>
      <c r="S162" s="30"/>
    </row>
    <row r="163" spans="2:19" x14ac:dyDescent="0.3">
      <c r="B163" s="29"/>
      <c r="C163" s="29"/>
      <c r="D163" s="29"/>
      <c r="E163" s="67"/>
      <c r="F163" s="30"/>
      <c r="G163" s="30"/>
      <c r="H163" s="30"/>
      <c r="I163" s="30"/>
      <c r="J163" s="30"/>
      <c r="K163" s="30"/>
      <c r="L163" s="30"/>
      <c r="M163" s="30"/>
      <c r="N163" s="30"/>
      <c r="O163" s="30"/>
      <c r="P163" s="30"/>
      <c r="Q163" s="30"/>
      <c r="R163" s="30"/>
      <c r="S163" s="30"/>
    </row>
    <row r="164" spans="2:19" x14ac:dyDescent="0.3">
      <c r="B164" s="29"/>
      <c r="C164" s="29"/>
      <c r="D164" s="29"/>
      <c r="E164" s="67"/>
      <c r="F164" s="30"/>
      <c r="G164" s="30"/>
      <c r="H164" s="30"/>
      <c r="I164" s="30"/>
      <c r="J164" s="30"/>
      <c r="K164" s="30"/>
      <c r="L164" s="30"/>
      <c r="M164" s="30"/>
      <c r="N164" s="30"/>
      <c r="O164" s="30"/>
      <c r="P164" s="30"/>
      <c r="Q164" s="30"/>
      <c r="R164" s="30"/>
      <c r="S164" s="30"/>
    </row>
    <row r="165" spans="2:19" x14ac:dyDescent="0.3">
      <c r="B165" s="29"/>
      <c r="C165" s="29"/>
      <c r="D165" s="29"/>
      <c r="E165" s="67"/>
      <c r="F165" s="30"/>
      <c r="G165" s="30"/>
      <c r="H165" s="30"/>
      <c r="I165" s="30"/>
      <c r="J165" s="30"/>
      <c r="K165" s="30"/>
      <c r="L165" s="30"/>
      <c r="M165" s="30"/>
      <c r="N165" s="30"/>
      <c r="O165" s="30"/>
      <c r="P165" s="30"/>
      <c r="Q165" s="30"/>
      <c r="R165" s="30"/>
      <c r="S165" s="30"/>
    </row>
    <row r="166" spans="2:19" x14ac:dyDescent="0.3">
      <c r="B166" s="29"/>
      <c r="C166" s="29"/>
      <c r="D166" s="29"/>
      <c r="E166" s="67"/>
      <c r="F166" s="30"/>
      <c r="G166" s="30"/>
      <c r="H166" s="30"/>
      <c r="I166" s="30"/>
      <c r="J166" s="30"/>
      <c r="K166" s="30"/>
      <c r="L166" s="30"/>
      <c r="M166" s="30"/>
      <c r="N166" s="30"/>
      <c r="O166" s="30"/>
      <c r="P166" s="30"/>
      <c r="Q166" s="30"/>
      <c r="R166" s="30"/>
      <c r="S166" s="30"/>
    </row>
    <row r="167" spans="2:19" x14ac:dyDescent="0.3">
      <c r="B167" s="29"/>
      <c r="C167" s="29"/>
      <c r="D167" s="29"/>
      <c r="E167" s="67"/>
      <c r="F167" s="30"/>
      <c r="G167" s="30"/>
      <c r="H167" s="30"/>
      <c r="I167" s="30"/>
      <c r="J167" s="30"/>
      <c r="K167" s="30"/>
      <c r="L167" s="30"/>
      <c r="M167" s="30"/>
      <c r="N167" s="30"/>
      <c r="O167" s="30"/>
      <c r="P167" s="30"/>
      <c r="Q167" s="30"/>
      <c r="R167" s="30"/>
      <c r="S167" s="30"/>
    </row>
    <row r="168" spans="2:19" x14ac:dyDescent="0.3">
      <c r="B168" s="29"/>
      <c r="C168" s="29"/>
      <c r="D168" s="29"/>
      <c r="E168" s="67"/>
      <c r="F168" s="30"/>
      <c r="G168" s="30"/>
      <c r="H168" s="30"/>
      <c r="I168" s="30"/>
      <c r="J168" s="30"/>
      <c r="K168" s="30"/>
      <c r="L168" s="30"/>
      <c r="M168" s="30"/>
      <c r="N168" s="30"/>
      <c r="O168" s="30"/>
      <c r="P168" s="30"/>
      <c r="Q168" s="30"/>
      <c r="R168" s="30"/>
      <c r="S168" s="30"/>
    </row>
    <row r="169" spans="2:19" x14ac:dyDescent="0.3">
      <c r="B169" s="29"/>
      <c r="C169" s="29"/>
      <c r="D169" s="29"/>
      <c r="E169" s="67"/>
      <c r="F169" s="30"/>
      <c r="G169" s="30"/>
      <c r="H169" s="30"/>
      <c r="I169" s="30"/>
      <c r="J169" s="30"/>
      <c r="K169" s="30"/>
      <c r="L169" s="30"/>
      <c r="M169" s="30"/>
      <c r="N169" s="30"/>
      <c r="O169" s="30"/>
      <c r="P169" s="30"/>
      <c r="Q169" s="30"/>
      <c r="R169" s="30"/>
      <c r="S169" s="30"/>
    </row>
    <row r="170" spans="2:19" x14ac:dyDescent="0.3">
      <c r="B170" s="29"/>
      <c r="C170" s="29"/>
      <c r="D170" s="29"/>
      <c r="E170" s="67"/>
      <c r="F170" s="30"/>
      <c r="G170" s="30"/>
      <c r="H170" s="30"/>
      <c r="I170" s="30"/>
      <c r="J170" s="30"/>
      <c r="K170" s="30"/>
      <c r="L170" s="30"/>
      <c r="M170" s="30"/>
      <c r="N170" s="30"/>
      <c r="O170" s="30"/>
      <c r="P170" s="30"/>
      <c r="Q170" s="30"/>
      <c r="R170" s="30"/>
      <c r="S170" s="30"/>
    </row>
    <row r="171" spans="2:19" x14ac:dyDescent="0.3">
      <c r="B171" s="29"/>
      <c r="C171" s="29"/>
      <c r="D171" s="29"/>
      <c r="E171" s="67"/>
      <c r="F171" s="30"/>
      <c r="G171" s="30"/>
      <c r="H171" s="30"/>
      <c r="I171" s="30"/>
      <c r="J171" s="30"/>
      <c r="K171" s="30"/>
      <c r="L171" s="30"/>
      <c r="M171" s="30"/>
      <c r="N171" s="30"/>
      <c r="O171" s="30"/>
      <c r="P171" s="30"/>
      <c r="Q171" s="30"/>
      <c r="R171" s="30"/>
      <c r="S171" s="30"/>
    </row>
    <row r="172" spans="2:19" x14ac:dyDescent="0.3">
      <c r="B172" s="29"/>
      <c r="C172" s="29"/>
      <c r="D172" s="29"/>
      <c r="E172" s="67"/>
      <c r="F172" s="30"/>
      <c r="G172" s="30"/>
      <c r="H172" s="30"/>
      <c r="I172" s="30"/>
      <c r="J172" s="30"/>
      <c r="K172" s="30"/>
      <c r="L172" s="30"/>
      <c r="M172" s="30"/>
      <c r="N172" s="30"/>
      <c r="O172" s="30"/>
      <c r="P172" s="30"/>
      <c r="Q172" s="30"/>
      <c r="R172" s="30"/>
      <c r="S172" s="30"/>
    </row>
    <row r="173" spans="2:19" x14ac:dyDescent="0.3">
      <c r="B173" s="29"/>
      <c r="C173" s="29"/>
      <c r="D173" s="29"/>
      <c r="E173" s="67"/>
      <c r="F173" s="30"/>
      <c r="G173" s="30"/>
      <c r="H173" s="30"/>
      <c r="I173" s="30"/>
      <c r="J173" s="30"/>
      <c r="K173" s="30"/>
      <c r="L173" s="30"/>
      <c r="M173" s="30"/>
      <c r="N173" s="30"/>
      <c r="O173" s="30"/>
      <c r="P173" s="30"/>
      <c r="Q173" s="30"/>
      <c r="R173" s="30"/>
      <c r="S173" s="30"/>
    </row>
    <row r="174" spans="2:19" x14ac:dyDescent="0.3">
      <c r="B174" s="29"/>
      <c r="C174" s="29"/>
      <c r="D174" s="29"/>
      <c r="E174" s="67"/>
      <c r="F174" s="30"/>
      <c r="G174" s="30"/>
      <c r="H174" s="30"/>
      <c r="I174" s="30"/>
      <c r="J174" s="30"/>
      <c r="K174" s="30"/>
      <c r="L174" s="30"/>
      <c r="M174" s="30"/>
      <c r="N174" s="30"/>
      <c r="O174" s="30"/>
      <c r="P174" s="30"/>
      <c r="Q174" s="30"/>
      <c r="R174" s="30"/>
      <c r="S174" s="30"/>
    </row>
    <row r="175" spans="2:19" x14ac:dyDescent="0.3">
      <c r="B175" s="29"/>
      <c r="C175" s="29"/>
      <c r="D175" s="29"/>
      <c r="E175" s="67"/>
      <c r="F175" s="30"/>
      <c r="G175" s="30"/>
      <c r="H175" s="30"/>
      <c r="I175" s="30"/>
      <c r="J175" s="30"/>
      <c r="K175" s="30"/>
      <c r="L175" s="30"/>
      <c r="M175" s="30"/>
      <c r="N175" s="30"/>
      <c r="O175" s="30"/>
      <c r="P175" s="30"/>
      <c r="Q175" s="30"/>
      <c r="R175" s="30"/>
      <c r="S175" s="30"/>
    </row>
    <row r="176" spans="2:19" x14ac:dyDescent="0.3">
      <c r="B176" s="29"/>
      <c r="C176" s="29"/>
      <c r="D176" s="29"/>
      <c r="E176" s="67"/>
      <c r="F176" s="30"/>
      <c r="G176" s="30"/>
      <c r="H176" s="30"/>
      <c r="I176" s="30"/>
      <c r="J176" s="30"/>
      <c r="K176" s="30"/>
      <c r="L176" s="30"/>
      <c r="M176" s="30"/>
      <c r="N176" s="30"/>
      <c r="O176" s="30"/>
      <c r="P176" s="30"/>
      <c r="Q176" s="30"/>
      <c r="R176" s="30"/>
      <c r="S176" s="30"/>
    </row>
    <row r="177" spans="2:19" x14ac:dyDescent="0.3">
      <c r="B177" s="29"/>
      <c r="C177" s="29"/>
      <c r="D177" s="29"/>
      <c r="E177" s="67"/>
      <c r="F177" s="30"/>
      <c r="G177" s="30"/>
      <c r="H177" s="30"/>
      <c r="I177" s="30"/>
      <c r="J177" s="30"/>
      <c r="K177" s="30"/>
      <c r="L177" s="30"/>
      <c r="M177" s="30"/>
      <c r="N177" s="30"/>
      <c r="O177" s="30"/>
      <c r="P177" s="30"/>
      <c r="Q177" s="30"/>
      <c r="R177" s="30"/>
      <c r="S177" s="30"/>
    </row>
    <row r="178" spans="2:19" x14ac:dyDescent="0.3">
      <c r="B178" s="29"/>
      <c r="C178" s="29"/>
      <c r="D178" s="29"/>
      <c r="E178" s="67"/>
      <c r="F178" s="30"/>
      <c r="G178" s="30"/>
      <c r="H178" s="30"/>
      <c r="I178" s="30"/>
      <c r="J178" s="30"/>
      <c r="K178" s="30"/>
      <c r="L178" s="30"/>
      <c r="M178" s="30"/>
      <c r="N178" s="30"/>
      <c r="O178" s="30"/>
      <c r="P178" s="30"/>
      <c r="Q178" s="30"/>
      <c r="R178" s="30"/>
      <c r="S178" s="30"/>
    </row>
    <row r="179" spans="2:19" x14ac:dyDescent="0.3">
      <c r="B179" s="29"/>
      <c r="C179" s="29"/>
      <c r="D179" s="29"/>
      <c r="E179" s="67"/>
      <c r="F179" s="30"/>
      <c r="G179" s="30"/>
      <c r="H179" s="30"/>
      <c r="I179" s="30"/>
      <c r="J179" s="30"/>
      <c r="K179" s="30"/>
      <c r="L179" s="30"/>
      <c r="M179" s="30"/>
      <c r="N179" s="30"/>
      <c r="O179" s="30"/>
      <c r="P179" s="30"/>
      <c r="Q179" s="30"/>
      <c r="R179" s="30"/>
      <c r="S179" s="30"/>
    </row>
    <row r="180" spans="2:19" x14ac:dyDescent="0.3">
      <c r="B180" s="29"/>
      <c r="C180" s="29"/>
      <c r="D180" s="29"/>
      <c r="E180" s="67"/>
      <c r="F180" s="30"/>
      <c r="G180" s="30"/>
      <c r="H180" s="30"/>
      <c r="I180" s="30"/>
      <c r="J180" s="30"/>
      <c r="K180" s="30"/>
      <c r="L180" s="30"/>
      <c r="M180" s="30"/>
      <c r="N180" s="30"/>
      <c r="O180" s="30"/>
      <c r="P180" s="30"/>
      <c r="Q180" s="30"/>
      <c r="R180" s="30"/>
      <c r="S180" s="30"/>
    </row>
    <row r="181" spans="2:19" x14ac:dyDescent="0.3">
      <c r="B181" s="29"/>
      <c r="C181" s="29"/>
      <c r="D181" s="29"/>
      <c r="E181" s="67"/>
      <c r="F181" s="30"/>
      <c r="G181" s="30"/>
      <c r="H181" s="30"/>
      <c r="I181" s="30"/>
      <c r="J181" s="30"/>
      <c r="K181" s="30"/>
      <c r="L181" s="30"/>
      <c r="M181" s="30"/>
      <c r="N181" s="30"/>
      <c r="O181" s="30"/>
      <c r="P181" s="30"/>
      <c r="Q181" s="30"/>
      <c r="R181" s="30"/>
      <c r="S181" s="30"/>
    </row>
    <row r="182" spans="2:19" x14ac:dyDescent="0.3">
      <c r="B182" s="29"/>
      <c r="C182" s="29"/>
      <c r="D182" s="29"/>
      <c r="E182" s="67"/>
      <c r="F182" s="30"/>
      <c r="G182" s="30"/>
      <c r="H182" s="30"/>
      <c r="I182" s="30"/>
      <c r="J182" s="30"/>
      <c r="K182" s="30"/>
      <c r="L182" s="30"/>
      <c r="M182" s="30"/>
      <c r="N182" s="30"/>
      <c r="O182" s="30"/>
      <c r="P182" s="30"/>
      <c r="Q182" s="30"/>
      <c r="R182" s="30"/>
      <c r="S182" s="30"/>
    </row>
    <row r="183" spans="2:19" x14ac:dyDescent="0.3">
      <c r="B183" s="29"/>
      <c r="C183" s="29"/>
      <c r="D183" s="29"/>
      <c r="E183" s="67"/>
      <c r="F183" s="30"/>
      <c r="G183" s="30"/>
      <c r="H183" s="30"/>
      <c r="I183" s="30"/>
      <c r="J183" s="30"/>
      <c r="K183" s="30"/>
      <c r="L183" s="30"/>
      <c r="M183" s="30"/>
      <c r="N183" s="30"/>
      <c r="O183" s="30"/>
      <c r="P183" s="30"/>
      <c r="Q183" s="30"/>
      <c r="R183" s="30"/>
      <c r="S183" s="30"/>
    </row>
    <row r="184" spans="2:19" x14ac:dyDescent="0.3">
      <c r="B184" s="29"/>
      <c r="C184" s="29"/>
      <c r="D184" s="29"/>
      <c r="E184" s="67"/>
      <c r="F184" s="30"/>
      <c r="G184" s="30"/>
      <c r="H184" s="30"/>
      <c r="I184" s="30"/>
      <c r="J184" s="30"/>
      <c r="K184" s="30"/>
      <c r="L184" s="30"/>
      <c r="M184" s="30"/>
      <c r="N184" s="30"/>
      <c r="O184" s="30"/>
      <c r="P184" s="30"/>
      <c r="Q184" s="30"/>
      <c r="R184" s="30"/>
      <c r="S184" s="30"/>
    </row>
    <row r="185" spans="2:19" x14ac:dyDescent="0.3">
      <c r="B185" s="29"/>
      <c r="C185" s="29"/>
      <c r="D185" s="29"/>
      <c r="E185" s="67"/>
      <c r="F185" s="30"/>
      <c r="G185" s="30"/>
      <c r="H185" s="30"/>
      <c r="I185" s="30"/>
      <c r="J185" s="30"/>
      <c r="K185" s="30"/>
      <c r="L185" s="30"/>
      <c r="M185" s="30"/>
      <c r="N185" s="30"/>
      <c r="O185" s="30"/>
      <c r="P185" s="30"/>
      <c r="Q185" s="30"/>
      <c r="R185" s="30"/>
      <c r="S185" s="30"/>
    </row>
    <row r="186" spans="2:19" x14ac:dyDescent="0.3">
      <c r="B186" s="29"/>
      <c r="C186" s="29"/>
      <c r="D186" s="29"/>
      <c r="E186" s="67"/>
      <c r="F186" s="30"/>
      <c r="G186" s="30"/>
      <c r="H186" s="30"/>
      <c r="I186" s="30"/>
      <c r="J186" s="30"/>
      <c r="K186" s="30"/>
      <c r="L186" s="30"/>
      <c r="M186" s="30"/>
      <c r="N186" s="30"/>
      <c r="O186" s="30"/>
      <c r="P186" s="30"/>
      <c r="Q186" s="30"/>
      <c r="R186" s="30"/>
      <c r="S186" s="30"/>
    </row>
    <row r="187" spans="2:19" x14ac:dyDescent="0.3">
      <c r="B187" s="29"/>
      <c r="C187" s="29"/>
      <c r="D187" s="29"/>
      <c r="E187" s="67"/>
      <c r="F187" s="30"/>
      <c r="G187" s="30"/>
      <c r="H187" s="30"/>
      <c r="I187" s="30"/>
      <c r="J187" s="30"/>
      <c r="K187" s="30"/>
      <c r="L187" s="30"/>
      <c r="M187" s="30"/>
      <c r="N187" s="30"/>
      <c r="O187" s="30"/>
      <c r="P187" s="30"/>
      <c r="Q187" s="30"/>
      <c r="R187" s="30"/>
      <c r="S187" s="30"/>
    </row>
    <row r="188" spans="2:19" x14ac:dyDescent="0.3">
      <c r="B188" s="29"/>
      <c r="C188" s="29"/>
      <c r="D188" s="29"/>
      <c r="E188" s="67"/>
      <c r="F188" s="30"/>
      <c r="G188" s="30"/>
      <c r="H188" s="30"/>
      <c r="I188" s="30"/>
      <c r="J188" s="30"/>
      <c r="K188" s="30"/>
      <c r="L188" s="30"/>
      <c r="M188" s="30"/>
      <c r="N188" s="30"/>
      <c r="O188" s="30"/>
      <c r="P188" s="30"/>
      <c r="Q188" s="30"/>
      <c r="R188" s="30"/>
      <c r="S188" s="30"/>
    </row>
    <row r="189" spans="2:19" x14ac:dyDescent="0.3">
      <c r="B189" s="29"/>
      <c r="C189" s="29"/>
      <c r="D189" s="29"/>
      <c r="E189" s="67"/>
      <c r="F189" s="30"/>
      <c r="G189" s="30"/>
      <c r="H189" s="30"/>
      <c r="I189" s="30"/>
      <c r="J189" s="30"/>
      <c r="K189" s="30"/>
      <c r="L189" s="30"/>
      <c r="M189" s="30"/>
      <c r="N189" s="30"/>
      <c r="O189" s="30"/>
      <c r="P189" s="30"/>
      <c r="Q189" s="30"/>
      <c r="R189" s="30"/>
      <c r="S189" s="30"/>
    </row>
    <row r="190" spans="2:19" x14ac:dyDescent="0.3">
      <c r="B190" s="29"/>
      <c r="C190" s="29"/>
      <c r="D190" s="29"/>
      <c r="E190" s="67"/>
      <c r="F190" s="30"/>
      <c r="G190" s="30"/>
      <c r="H190" s="30"/>
      <c r="I190" s="30"/>
      <c r="J190" s="30"/>
      <c r="K190" s="30"/>
      <c r="L190" s="30"/>
      <c r="M190" s="30"/>
      <c r="N190" s="30"/>
      <c r="O190" s="30"/>
      <c r="P190" s="30"/>
      <c r="Q190" s="30"/>
      <c r="R190" s="30"/>
      <c r="S190" s="30"/>
    </row>
    <row r="191" spans="2:19" x14ac:dyDescent="0.3">
      <c r="B191" s="29"/>
      <c r="C191" s="29"/>
      <c r="D191" s="29"/>
      <c r="E191" s="67"/>
      <c r="F191" s="30"/>
      <c r="G191" s="30"/>
      <c r="H191" s="30"/>
      <c r="I191" s="30"/>
      <c r="J191" s="30"/>
      <c r="K191" s="30"/>
      <c r="L191" s="30"/>
      <c r="M191" s="30"/>
      <c r="N191" s="30"/>
      <c r="O191" s="30"/>
      <c r="P191" s="30"/>
      <c r="Q191" s="30"/>
      <c r="R191" s="30"/>
      <c r="S191" s="30"/>
    </row>
    <row r="192" spans="2:19" x14ac:dyDescent="0.3">
      <c r="B192" s="29"/>
      <c r="C192" s="29"/>
      <c r="D192" s="29"/>
      <c r="E192" s="67"/>
      <c r="F192" s="30"/>
      <c r="G192" s="30"/>
      <c r="H192" s="30"/>
      <c r="I192" s="30"/>
      <c r="J192" s="30"/>
      <c r="K192" s="30"/>
      <c r="L192" s="30"/>
      <c r="M192" s="30"/>
      <c r="N192" s="30"/>
      <c r="O192" s="30"/>
      <c r="P192" s="30"/>
      <c r="Q192" s="30"/>
      <c r="R192" s="30"/>
      <c r="S192" s="30"/>
    </row>
    <row r="193" spans="2:19" x14ac:dyDescent="0.3">
      <c r="B193" s="29"/>
      <c r="C193" s="29"/>
      <c r="D193" s="29"/>
      <c r="E193" s="67"/>
      <c r="F193" s="30"/>
      <c r="G193" s="30"/>
      <c r="H193" s="30"/>
      <c r="I193" s="30"/>
      <c r="J193" s="30"/>
      <c r="K193" s="30"/>
      <c r="L193" s="30"/>
      <c r="M193" s="30"/>
      <c r="N193" s="30"/>
      <c r="O193" s="30"/>
      <c r="P193" s="30"/>
      <c r="Q193" s="30"/>
      <c r="R193" s="30"/>
      <c r="S193" s="30"/>
    </row>
    <row r="194" spans="2:19" x14ac:dyDescent="0.3">
      <c r="B194" s="29"/>
      <c r="C194" s="29"/>
      <c r="D194" s="29"/>
      <c r="E194" s="67"/>
      <c r="F194" s="30"/>
      <c r="G194" s="30"/>
      <c r="H194" s="30"/>
      <c r="I194" s="30"/>
      <c r="J194" s="30"/>
      <c r="K194" s="30"/>
      <c r="L194" s="30"/>
      <c r="M194" s="30"/>
      <c r="N194" s="30"/>
      <c r="O194" s="30"/>
      <c r="P194" s="30"/>
      <c r="Q194" s="30"/>
      <c r="R194" s="30"/>
      <c r="S194" s="30"/>
    </row>
    <row r="195" spans="2:19" x14ac:dyDescent="0.3">
      <c r="B195" s="29"/>
      <c r="C195" s="29"/>
      <c r="D195" s="29"/>
      <c r="E195" s="67"/>
      <c r="F195" s="30"/>
      <c r="G195" s="30"/>
      <c r="H195" s="30"/>
      <c r="I195" s="30"/>
      <c r="J195" s="30"/>
      <c r="K195" s="30"/>
      <c r="L195" s="30"/>
      <c r="M195" s="30"/>
      <c r="N195" s="30"/>
      <c r="O195" s="30"/>
      <c r="P195" s="30"/>
      <c r="Q195" s="30"/>
      <c r="R195" s="30"/>
      <c r="S195" s="30"/>
    </row>
    <row r="196" spans="2:19" x14ac:dyDescent="0.3">
      <c r="B196" s="29"/>
      <c r="C196" s="29"/>
      <c r="D196" s="29"/>
      <c r="E196" s="67"/>
      <c r="F196" s="30"/>
      <c r="G196" s="30"/>
      <c r="H196" s="30"/>
      <c r="I196" s="30"/>
      <c r="J196" s="30"/>
      <c r="K196" s="30"/>
      <c r="L196" s="30"/>
      <c r="M196" s="30"/>
      <c r="N196" s="30"/>
      <c r="O196" s="30"/>
      <c r="P196" s="30"/>
      <c r="Q196" s="30"/>
      <c r="R196" s="30"/>
      <c r="S196" s="30"/>
    </row>
    <row r="197" spans="2:19" x14ac:dyDescent="0.3">
      <c r="B197" s="29"/>
      <c r="C197" s="29"/>
      <c r="D197" s="29"/>
      <c r="E197" s="67"/>
      <c r="F197" s="30"/>
      <c r="G197" s="30"/>
      <c r="H197" s="30"/>
      <c r="I197" s="30"/>
      <c r="J197" s="30"/>
      <c r="K197" s="30"/>
      <c r="L197" s="30"/>
      <c r="M197" s="30"/>
      <c r="N197" s="30"/>
      <c r="O197" s="30"/>
      <c r="P197" s="30"/>
      <c r="Q197" s="30"/>
      <c r="R197" s="30"/>
      <c r="S197" s="30"/>
    </row>
    <row r="198" spans="2:19" x14ac:dyDescent="0.3">
      <c r="B198" s="29"/>
      <c r="C198" s="29"/>
      <c r="D198" s="29"/>
      <c r="E198" s="67"/>
      <c r="F198" s="30"/>
      <c r="G198" s="30"/>
      <c r="H198" s="30"/>
      <c r="I198" s="30"/>
      <c r="J198" s="30"/>
      <c r="K198" s="30"/>
      <c r="L198" s="30"/>
      <c r="M198" s="30"/>
      <c r="N198" s="30"/>
      <c r="O198" s="30"/>
      <c r="P198" s="30"/>
      <c r="Q198" s="30"/>
      <c r="R198" s="30"/>
      <c r="S198" s="30"/>
    </row>
    <row r="199" spans="2:19" x14ac:dyDescent="0.3">
      <c r="B199" s="29"/>
      <c r="C199" s="29"/>
      <c r="D199" s="29"/>
      <c r="E199" s="67"/>
      <c r="F199" s="30"/>
      <c r="G199" s="30"/>
      <c r="H199" s="30"/>
      <c r="I199" s="30"/>
      <c r="J199" s="30"/>
      <c r="K199" s="30"/>
      <c r="L199" s="30"/>
      <c r="M199" s="30"/>
      <c r="N199" s="30"/>
      <c r="O199" s="30"/>
      <c r="P199" s="30"/>
      <c r="Q199" s="30"/>
      <c r="R199" s="30"/>
      <c r="S199" s="30"/>
    </row>
    <row r="200" spans="2:19" x14ac:dyDescent="0.3">
      <c r="B200" s="29"/>
      <c r="C200" s="29"/>
      <c r="D200" s="29"/>
      <c r="E200" s="67"/>
      <c r="F200" s="30"/>
      <c r="G200" s="30"/>
      <c r="H200" s="30"/>
      <c r="I200" s="30"/>
      <c r="J200" s="30"/>
      <c r="K200" s="30"/>
      <c r="L200" s="30"/>
      <c r="M200" s="30"/>
      <c r="N200" s="30"/>
      <c r="O200" s="30"/>
      <c r="P200" s="30"/>
      <c r="Q200" s="30"/>
      <c r="R200" s="30"/>
      <c r="S200" s="30"/>
    </row>
    <row r="201" spans="2:19" x14ac:dyDescent="0.3">
      <c r="B201" s="29"/>
      <c r="C201" s="29"/>
      <c r="D201" s="29"/>
      <c r="E201" s="67"/>
      <c r="F201" s="30"/>
      <c r="G201" s="30"/>
      <c r="H201" s="30"/>
      <c r="I201" s="30"/>
      <c r="J201" s="30"/>
      <c r="K201" s="30"/>
      <c r="L201" s="30"/>
      <c r="M201" s="30"/>
      <c r="N201" s="30"/>
      <c r="O201" s="30"/>
      <c r="P201" s="30"/>
      <c r="Q201" s="30"/>
      <c r="R201" s="30"/>
      <c r="S201" s="30"/>
    </row>
    <row r="202" spans="2:19" x14ac:dyDescent="0.3">
      <c r="B202" s="29"/>
      <c r="C202" s="29"/>
      <c r="D202" s="29"/>
      <c r="E202" s="67"/>
      <c r="F202" s="30"/>
      <c r="G202" s="30"/>
      <c r="H202" s="30"/>
      <c r="I202" s="30"/>
      <c r="J202" s="30"/>
      <c r="K202" s="30"/>
      <c r="L202" s="30"/>
      <c r="M202" s="30"/>
      <c r="N202" s="30"/>
      <c r="O202" s="30"/>
      <c r="P202" s="30"/>
      <c r="Q202" s="30"/>
      <c r="R202" s="30"/>
      <c r="S202" s="30"/>
    </row>
    <row r="203" spans="2:19" x14ac:dyDescent="0.3">
      <c r="B203" s="29"/>
      <c r="C203" s="29"/>
      <c r="D203" s="29"/>
      <c r="E203" s="67"/>
      <c r="F203" s="30"/>
      <c r="G203" s="30"/>
      <c r="H203" s="30"/>
      <c r="I203" s="30"/>
      <c r="J203" s="30"/>
      <c r="K203" s="30"/>
      <c r="L203" s="30"/>
      <c r="M203" s="30"/>
      <c r="N203" s="30"/>
      <c r="O203" s="30"/>
      <c r="P203" s="30"/>
      <c r="Q203" s="30"/>
      <c r="R203" s="30"/>
      <c r="S203" s="30"/>
    </row>
    <row r="204" spans="2:19" x14ac:dyDescent="0.3">
      <c r="B204" s="29"/>
      <c r="C204" s="29"/>
      <c r="D204" s="29"/>
      <c r="E204" s="67"/>
      <c r="F204" s="30"/>
      <c r="G204" s="30"/>
      <c r="H204" s="30"/>
      <c r="I204" s="30"/>
      <c r="J204" s="30"/>
      <c r="K204" s="30"/>
      <c r="L204" s="30"/>
      <c r="M204" s="30"/>
      <c r="N204" s="30"/>
      <c r="O204" s="30"/>
      <c r="P204" s="30"/>
      <c r="Q204" s="30"/>
      <c r="R204" s="30"/>
      <c r="S204" s="30"/>
    </row>
    <row r="205" spans="2:19" x14ac:dyDescent="0.3">
      <c r="B205" s="29"/>
      <c r="C205" s="29"/>
      <c r="D205" s="29"/>
      <c r="E205" s="67"/>
      <c r="F205" s="30"/>
      <c r="G205" s="30"/>
      <c r="H205" s="30"/>
      <c r="I205" s="30"/>
      <c r="J205" s="30"/>
      <c r="K205" s="30"/>
      <c r="L205" s="30"/>
      <c r="M205" s="30"/>
      <c r="N205" s="30"/>
      <c r="O205" s="30"/>
      <c r="P205" s="30"/>
      <c r="Q205" s="30"/>
      <c r="R205" s="30"/>
      <c r="S205" s="30"/>
    </row>
    <row r="206" spans="2:19" x14ac:dyDescent="0.3">
      <c r="B206" s="29"/>
      <c r="C206" s="29"/>
      <c r="D206" s="29"/>
      <c r="E206" s="67"/>
      <c r="F206" s="30"/>
      <c r="G206" s="30"/>
      <c r="H206" s="30"/>
      <c r="I206" s="30"/>
      <c r="J206" s="30"/>
      <c r="K206" s="30"/>
      <c r="L206" s="30"/>
      <c r="M206" s="30"/>
      <c r="N206" s="30"/>
      <c r="O206" s="30"/>
      <c r="P206" s="30"/>
      <c r="Q206" s="30"/>
      <c r="R206" s="30"/>
      <c r="S206" s="30"/>
    </row>
    <row r="207" spans="2:19" x14ac:dyDescent="0.3">
      <c r="B207" s="29"/>
      <c r="C207" s="29"/>
      <c r="D207" s="29"/>
      <c r="E207" s="67"/>
      <c r="F207" s="30"/>
      <c r="G207" s="30"/>
      <c r="H207" s="30"/>
      <c r="I207" s="30"/>
      <c r="J207" s="30"/>
      <c r="K207" s="30"/>
      <c r="L207" s="30"/>
      <c r="M207" s="30"/>
      <c r="N207" s="30"/>
      <c r="O207" s="30"/>
      <c r="P207" s="30"/>
      <c r="Q207" s="30"/>
      <c r="R207" s="30"/>
      <c r="S207" s="30"/>
    </row>
    <row r="208" spans="2:19" x14ac:dyDescent="0.3">
      <c r="B208" s="29"/>
      <c r="C208" s="29"/>
      <c r="D208" s="29"/>
      <c r="E208" s="67"/>
      <c r="F208" s="30"/>
      <c r="G208" s="30"/>
      <c r="H208" s="30"/>
      <c r="I208" s="30"/>
      <c r="J208" s="30"/>
      <c r="K208" s="30"/>
      <c r="L208" s="30"/>
      <c r="M208" s="30"/>
      <c r="N208" s="30"/>
      <c r="O208" s="30"/>
      <c r="P208" s="30"/>
      <c r="Q208" s="30"/>
      <c r="R208" s="30"/>
      <c r="S208" s="30"/>
    </row>
    <row r="209" spans="2:19" x14ac:dyDescent="0.3">
      <c r="B209" s="29"/>
      <c r="C209" s="29"/>
      <c r="D209" s="29"/>
      <c r="E209" s="67"/>
      <c r="F209" s="30"/>
      <c r="G209" s="30"/>
      <c r="H209" s="30"/>
      <c r="I209" s="30"/>
      <c r="J209" s="30"/>
      <c r="K209" s="30"/>
      <c r="L209" s="30"/>
      <c r="M209" s="30"/>
      <c r="N209" s="30"/>
      <c r="O209" s="30"/>
      <c r="P209" s="30"/>
      <c r="Q209" s="30"/>
      <c r="R209" s="30"/>
      <c r="S209" s="30"/>
    </row>
    <row r="210" spans="2:19" x14ac:dyDescent="0.3">
      <c r="B210" s="29"/>
      <c r="C210" s="29"/>
      <c r="D210" s="29"/>
      <c r="E210" s="67"/>
      <c r="F210" s="30"/>
      <c r="G210" s="30"/>
      <c r="H210" s="30"/>
      <c r="I210" s="30"/>
      <c r="J210" s="30"/>
      <c r="K210" s="30"/>
      <c r="L210" s="30"/>
      <c r="M210" s="30"/>
      <c r="N210" s="30"/>
      <c r="O210" s="30"/>
      <c r="P210" s="30"/>
      <c r="Q210" s="30"/>
      <c r="R210" s="30"/>
      <c r="S210" s="30"/>
    </row>
    <row r="211" spans="2:19" x14ac:dyDescent="0.3">
      <c r="B211" s="29"/>
      <c r="C211" s="29"/>
      <c r="D211" s="29"/>
      <c r="E211" s="67"/>
      <c r="F211" s="30"/>
      <c r="G211" s="30"/>
      <c r="H211" s="30"/>
      <c r="I211" s="30"/>
      <c r="J211" s="30"/>
      <c r="K211" s="30"/>
      <c r="L211" s="30"/>
      <c r="M211" s="30"/>
      <c r="N211" s="30"/>
      <c r="O211" s="30"/>
      <c r="P211" s="30"/>
      <c r="Q211" s="30"/>
      <c r="R211" s="30"/>
      <c r="S211" s="30"/>
    </row>
    <row r="212" spans="2:19" x14ac:dyDescent="0.3">
      <c r="B212" s="29"/>
      <c r="C212" s="29"/>
      <c r="D212" s="29"/>
      <c r="E212" s="67"/>
      <c r="F212" s="30"/>
      <c r="G212" s="30"/>
      <c r="H212" s="30"/>
      <c r="I212" s="30"/>
      <c r="J212" s="30"/>
      <c r="K212" s="30"/>
      <c r="L212" s="30"/>
      <c r="M212" s="30"/>
      <c r="N212" s="30"/>
      <c r="O212" s="30"/>
      <c r="P212" s="30"/>
      <c r="Q212" s="30"/>
      <c r="R212" s="30"/>
      <c r="S212" s="30"/>
    </row>
    <row r="213" spans="2:19" x14ac:dyDescent="0.3">
      <c r="B213" s="29"/>
      <c r="C213" s="29"/>
      <c r="D213" s="29"/>
      <c r="E213" s="67"/>
      <c r="F213" s="30"/>
      <c r="G213" s="30"/>
      <c r="H213" s="30"/>
      <c r="I213" s="30"/>
      <c r="J213" s="30"/>
      <c r="K213" s="30"/>
      <c r="L213" s="30"/>
      <c r="M213" s="30"/>
      <c r="N213" s="30"/>
      <c r="O213" s="30"/>
      <c r="P213" s="30"/>
      <c r="Q213" s="30"/>
      <c r="R213" s="30"/>
      <c r="S213" s="30"/>
    </row>
    <row r="214" spans="2:19" x14ac:dyDescent="0.3">
      <c r="B214" s="29"/>
      <c r="C214" s="29"/>
      <c r="D214" s="29"/>
      <c r="E214" s="67"/>
      <c r="F214" s="30"/>
      <c r="G214" s="30"/>
      <c r="H214" s="30"/>
      <c r="I214" s="30"/>
      <c r="J214" s="30"/>
      <c r="K214" s="30"/>
      <c r="L214" s="30"/>
      <c r="M214" s="30"/>
      <c r="N214" s="30"/>
      <c r="O214" s="30"/>
      <c r="P214" s="30"/>
      <c r="Q214" s="30"/>
      <c r="R214" s="30"/>
      <c r="S214" s="30"/>
    </row>
    <row r="215" spans="2:19" x14ac:dyDescent="0.3">
      <c r="B215" s="29"/>
      <c r="C215" s="29"/>
      <c r="D215" s="29"/>
      <c r="E215" s="67"/>
      <c r="F215" s="30"/>
      <c r="G215" s="30"/>
      <c r="H215" s="30"/>
      <c r="I215" s="30"/>
      <c r="J215" s="30"/>
      <c r="K215" s="30"/>
      <c r="L215" s="30"/>
      <c r="M215" s="30"/>
      <c r="N215" s="30"/>
      <c r="O215" s="30"/>
      <c r="P215" s="30"/>
      <c r="Q215" s="30"/>
      <c r="R215" s="30"/>
      <c r="S215" s="30"/>
    </row>
    <row r="216" spans="2:19" x14ac:dyDescent="0.3">
      <c r="B216" s="29"/>
      <c r="C216" s="29"/>
      <c r="D216" s="29"/>
      <c r="E216" s="67"/>
      <c r="F216" s="30"/>
      <c r="G216" s="30"/>
      <c r="H216" s="30"/>
      <c r="I216" s="30"/>
      <c r="J216" s="30"/>
      <c r="K216" s="30"/>
      <c r="L216" s="30"/>
      <c r="M216" s="30"/>
      <c r="N216" s="30"/>
      <c r="O216" s="30"/>
      <c r="P216" s="30"/>
      <c r="Q216" s="30"/>
      <c r="R216" s="30"/>
      <c r="S216" s="30"/>
    </row>
    <row r="217" spans="2:19" x14ac:dyDescent="0.3">
      <c r="B217" s="29"/>
      <c r="C217" s="29"/>
      <c r="D217" s="29"/>
      <c r="E217" s="67"/>
      <c r="F217" s="30"/>
      <c r="G217" s="30"/>
      <c r="H217" s="30"/>
      <c r="I217" s="30"/>
      <c r="J217" s="30"/>
      <c r="K217" s="30"/>
      <c r="L217" s="30"/>
      <c r="M217" s="30"/>
      <c r="N217" s="30"/>
      <c r="O217" s="30"/>
      <c r="P217" s="30"/>
      <c r="Q217" s="30"/>
      <c r="R217" s="30"/>
      <c r="S217" s="30"/>
    </row>
    <row r="218" spans="2:19" x14ac:dyDescent="0.3">
      <c r="B218" s="29"/>
      <c r="C218" s="29"/>
      <c r="D218" s="29"/>
      <c r="E218" s="67"/>
      <c r="F218" s="30"/>
      <c r="G218" s="30"/>
      <c r="H218" s="30"/>
      <c r="I218" s="30"/>
      <c r="J218" s="30"/>
      <c r="K218" s="30"/>
      <c r="L218" s="30"/>
      <c r="M218" s="30"/>
      <c r="N218" s="30"/>
      <c r="O218" s="30"/>
      <c r="P218" s="30"/>
      <c r="Q218" s="30"/>
      <c r="R218" s="30"/>
      <c r="S218" s="30"/>
    </row>
    <row r="219" spans="2:19" x14ac:dyDescent="0.3">
      <c r="B219" s="29"/>
      <c r="C219" s="29"/>
      <c r="D219" s="29"/>
      <c r="E219" s="67"/>
      <c r="F219" s="30"/>
      <c r="G219" s="30"/>
      <c r="H219" s="30"/>
      <c r="I219" s="30"/>
      <c r="J219" s="30"/>
      <c r="K219" s="30"/>
      <c r="L219" s="30"/>
      <c r="M219" s="30"/>
      <c r="N219" s="30"/>
      <c r="O219" s="30"/>
      <c r="P219" s="30"/>
      <c r="Q219" s="30"/>
      <c r="R219" s="30"/>
      <c r="S219" s="30"/>
    </row>
    <row r="220" spans="2:19" x14ac:dyDescent="0.3">
      <c r="B220" s="29"/>
      <c r="C220" s="29"/>
      <c r="D220" s="29"/>
      <c r="E220" s="67"/>
      <c r="F220" s="30"/>
      <c r="G220" s="30"/>
      <c r="H220" s="30"/>
      <c r="I220" s="30"/>
      <c r="J220" s="30"/>
      <c r="K220" s="30"/>
      <c r="L220" s="30"/>
      <c r="M220" s="30"/>
      <c r="N220" s="30"/>
      <c r="O220" s="30"/>
      <c r="P220" s="30"/>
      <c r="Q220" s="30"/>
      <c r="R220" s="30"/>
      <c r="S220" s="30"/>
    </row>
    <row r="221" spans="2:19" x14ac:dyDescent="0.3">
      <c r="B221" s="29"/>
      <c r="C221" s="29"/>
      <c r="D221" s="29"/>
      <c r="E221" s="67"/>
      <c r="F221" s="30"/>
      <c r="G221" s="30"/>
      <c r="H221" s="30"/>
      <c r="I221" s="30"/>
      <c r="J221" s="30"/>
      <c r="K221" s="30"/>
      <c r="L221" s="30"/>
      <c r="M221" s="30"/>
      <c r="N221" s="30"/>
      <c r="O221" s="30"/>
      <c r="P221" s="30"/>
      <c r="Q221" s="30"/>
      <c r="R221" s="30"/>
      <c r="S221" s="30"/>
    </row>
    <row r="222" spans="2:19" x14ac:dyDescent="0.3">
      <c r="B222" s="29"/>
      <c r="C222" s="29"/>
      <c r="D222" s="29"/>
      <c r="E222" s="67"/>
      <c r="F222" s="30"/>
      <c r="G222" s="30"/>
      <c r="H222" s="30"/>
      <c r="I222" s="30"/>
      <c r="J222" s="30"/>
      <c r="K222" s="30"/>
      <c r="L222" s="30"/>
      <c r="M222" s="30"/>
      <c r="N222" s="30"/>
      <c r="O222" s="30"/>
      <c r="P222" s="30"/>
      <c r="Q222" s="30"/>
      <c r="R222" s="30"/>
      <c r="S222" s="30"/>
    </row>
    <row r="223" spans="2:19" x14ac:dyDescent="0.3">
      <c r="B223" s="29"/>
      <c r="C223" s="29"/>
      <c r="D223" s="29"/>
      <c r="E223" s="67"/>
      <c r="F223" s="30"/>
      <c r="G223" s="30"/>
      <c r="H223" s="30"/>
      <c r="I223" s="30"/>
      <c r="J223" s="30"/>
      <c r="K223" s="30"/>
      <c r="L223" s="30"/>
      <c r="M223" s="30"/>
      <c r="N223" s="30"/>
      <c r="O223" s="30"/>
      <c r="P223" s="30"/>
      <c r="Q223" s="30"/>
      <c r="R223" s="30"/>
      <c r="S223" s="30"/>
    </row>
    <row r="224" spans="2:19" x14ac:dyDescent="0.3">
      <c r="B224" s="29"/>
      <c r="C224" s="29"/>
      <c r="D224" s="29"/>
      <c r="E224" s="67"/>
      <c r="F224" s="30"/>
      <c r="G224" s="30"/>
      <c r="H224" s="30"/>
      <c r="I224" s="30"/>
      <c r="J224" s="30"/>
      <c r="K224" s="30"/>
      <c r="L224" s="30"/>
      <c r="M224" s="30"/>
      <c r="N224" s="30"/>
      <c r="O224" s="30"/>
      <c r="P224" s="30"/>
      <c r="Q224" s="30"/>
      <c r="R224" s="30"/>
      <c r="S224" s="30"/>
    </row>
    <row r="225" spans="2:19" x14ac:dyDescent="0.3">
      <c r="B225" s="29"/>
      <c r="C225" s="29"/>
      <c r="D225" s="29"/>
      <c r="E225" s="67"/>
      <c r="F225" s="30"/>
      <c r="G225" s="30"/>
      <c r="H225" s="30"/>
      <c r="I225" s="30"/>
      <c r="J225" s="30"/>
      <c r="K225" s="30"/>
      <c r="L225" s="30"/>
      <c r="M225" s="30"/>
      <c r="N225" s="30"/>
      <c r="O225" s="30"/>
      <c r="P225" s="30"/>
      <c r="Q225" s="30"/>
      <c r="R225" s="30"/>
      <c r="S225" s="30"/>
    </row>
    <row r="226" spans="2:19" x14ac:dyDescent="0.3">
      <c r="B226" s="29"/>
      <c r="C226" s="29"/>
      <c r="D226" s="29"/>
      <c r="E226" s="67"/>
      <c r="F226" s="30"/>
      <c r="G226" s="30"/>
      <c r="H226" s="30"/>
      <c r="I226" s="30"/>
      <c r="J226" s="30"/>
      <c r="K226" s="30"/>
      <c r="L226" s="30"/>
      <c r="M226" s="30"/>
      <c r="N226" s="30"/>
      <c r="O226" s="30"/>
      <c r="P226" s="30"/>
      <c r="Q226" s="30"/>
      <c r="R226" s="30"/>
      <c r="S226" s="30"/>
    </row>
    <row r="227" spans="2:19" x14ac:dyDescent="0.3">
      <c r="B227" s="29"/>
      <c r="C227" s="29"/>
      <c r="D227" s="29"/>
      <c r="E227" s="67"/>
      <c r="F227" s="30"/>
      <c r="G227" s="30"/>
      <c r="H227" s="30"/>
      <c r="I227" s="30"/>
      <c r="J227" s="30"/>
      <c r="K227" s="30"/>
      <c r="L227" s="30"/>
      <c r="M227" s="30"/>
      <c r="N227" s="30"/>
      <c r="O227" s="30"/>
      <c r="P227" s="30"/>
      <c r="Q227" s="30"/>
      <c r="R227" s="30"/>
      <c r="S227" s="30"/>
    </row>
    <row r="228" spans="2:19" x14ac:dyDescent="0.3">
      <c r="B228" s="29"/>
      <c r="C228" s="29"/>
      <c r="D228" s="29"/>
      <c r="E228" s="67"/>
      <c r="F228" s="30"/>
      <c r="G228" s="30"/>
      <c r="H228" s="30"/>
      <c r="I228" s="30"/>
      <c r="J228" s="30"/>
      <c r="K228" s="30"/>
      <c r="L228" s="30"/>
      <c r="M228" s="30"/>
      <c r="N228" s="30"/>
      <c r="O228" s="30"/>
      <c r="P228" s="30"/>
      <c r="Q228" s="30"/>
      <c r="R228" s="30"/>
      <c r="S228" s="30"/>
    </row>
    <row r="229" spans="2:19" x14ac:dyDescent="0.3">
      <c r="B229" s="29"/>
      <c r="C229" s="29"/>
      <c r="D229" s="29"/>
      <c r="E229" s="67"/>
      <c r="F229" s="30"/>
      <c r="G229" s="30"/>
      <c r="H229" s="30"/>
      <c r="I229" s="30"/>
      <c r="J229" s="30"/>
      <c r="K229" s="30"/>
      <c r="L229" s="30"/>
      <c r="M229" s="30"/>
      <c r="N229" s="30"/>
      <c r="O229" s="30"/>
      <c r="P229" s="30"/>
      <c r="Q229" s="30"/>
      <c r="R229" s="30"/>
      <c r="S229" s="30"/>
    </row>
    <row r="230" spans="2:19" x14ac:dyDescent="0.3">
      <c r="B230" s="29"/>
      <c r="C230" s="29"/>
      <c r="D230" s="29"/>
      <c r="E230" s="67"/>
      <c r="F230" s="30"/>
      <c r="G230" s="30"/>
      <c r="H230" s="30"/>
      <c r="I230" s="30"/>
      <c r="J230" s="30"/>
      <c r="K230" s="30"/>
      <c r="L230" s="30"/>
      <c r="M230" s="30"/>
      <c r="N230" s="30"/>
      <c r="O230" s="30"/>
      <c r="P230" s="30"/>
      <c r="Q230" s="30"/>
      <c r="R230" s="30"/>
      <c r="S230" s="30"/>
    </row>
    <row r="231" spans="2:19" x14ac:dyDescent="0.3">
      <c r="B231" s="29"/>
      <c r="C231" s="29"/>
      <c r="D231" s="29"/>
      <c r="E231" s="67"/>
      <c r="F231" s="30"/>
      <c r="G231" s="30"/>
      <c r="H231" s="30"/>
      <c r="I231" s="30"/>
      <c r="J231" s="30"/>
      <c r="K231" s="30"/>
      <c r="L231" s="30"/>
      <c r="M231" s="30"/>
      <c r="N231" s="30"/>
      <c r="O231" s="30"/>
      <c r="P231" s="30"/>
      <c r="Q231" s="30"/>
      <c r="R231" s="30"/>
      <c r="S231" s="30"/>
    </row>
    <row r="232" spans="2:19" x14ac:dyDescent="0.3">
      <c r="B232" s="29"/>
      <c r="C232" s="29"/>
      <c r="D232" s="29"/>
      <c r="E232" s="67"/>
      <c r="F232" s="30"/>
      <c r="G232" s="30"/>
      <c r="H232" s="30"/>
      <c r="I232" s="30"/>
      <c r="J232" s="30"/>
      <c r="K232" s="30"/>
      <c r="L232" s="30"/>
      <c r="M232" s="30"/>
      <c r="N232" s="30"/>
      <c r="O232" s="30"/>
      <c r="P232" s="30"/>
      <c r="Q232" s="30"/>
      <c r="R232" s="30"/>
      <c r="S232"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11">
    <tabColor indexed="12"/>
    <outlinePr applyStyles="1" summaryBelow="0"/>
    <pageSetUpPr fitToPage="1"/>
  </sheetPr>
  <dimension ref="A2:T175"/>
  <sheetViews>
    <sheetView workbookViewId="0">
      <selection activeCell="A98" sqref="A98"/>
    </sheetView>
  </sheetViews>
  <sheetFormatPr defaultColWidth="9.109375" defaultRowHeight="13.8" outlineLevelRow="4"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Державний та гарантований державою борг України за станом на 31.08.2026</v>
      </c>
      <c r="B2" s="3"/>
      <c r="C2" s="3"/>
      <c r="D2" s="3"/>
      <c r="E2" s="3"/>
      <c r="F2" s="30"/>
      <c r="G2" s="30"/>
      <c r="H2" s="30"/>
      <c r="I2" s="30"/>
      <c r="J2" s="30"/>
      <c r="K2" s="30"/>
      <c r="L2" s="30"/>
      <c r="M2" s="30"/>
      <c r="N2" s="30"/>
      <c r="O2" s="30"/>
      <c r="P2" s="30"/>
      <c r="Q2" s="30"/>
      <c r="R2" s="30"/>
      <c r="S2" s="30"/>
      <c r="T2" s="30"/>
    </row>
    <row r="3" spans="1:20" ht="18" x14ac:dyDescent="0.35">
      <c r="A3" s="1" t="str">
        <f>IF(REPORT_LANG="UKR","(за ознакою умовності)","based on characteristic of conventionality")</f>
        <v>(за ознакою умовності)</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млрд. одиниць</v>
      </c>
    </row>
    <row r="6" spans="1:20" s="18" customFormat="1" x14ac:dyDescent="0.25">
      <c r="A6" s="113"/>
      <c r="B6" s="156" t="str">
        <f>USD</f>
        <v>дол. США</v>
      </c>
      <c r="C6" s="156" t="str">
        <f>EUR</f>
        <v>євро</v>
      </c>
      <c r="D6" s="156" t="str">
        <f>UAH</f>
        <v>грн.</v>
      </c>
      <c r="E6" s="114" t="s">
        <v>0</v>
      </c>
    </row>
    <row r="7" spans="1:20" s="19" customFormat="1" ht="15.6" x14ac:dyDescent="0.25">
      <c r="A7" s="158" t="str">
        <f>DEBT_TOTAL</f>
        <v>Загальна сума державного та гарантованого державою боргу</v>
      </c>
      <c r="B7" s="88">
        <f>B$8+B$63</f>
        <v>215.55073598985001</v>
      </c>
      <c r="C7" s="88">
        <f>C$8+C$63</f>
        <v>185.09674296469998</v>
      </c>
      <c r="D7" s="88">
        <f>D$8+D$63</f>
        <v>9602.8930637009707</v>
      </c>
      <c r="E7" s="89">
        <f>E$8+E$63</f>
        <v>0.99999999999999989</v>
      </c>
    </row>
    <row r="8" spans="1:20" s="20" customFormat="1" ht="14.4" outlineLevel="1" x14ac:dyDescent="0.25">
      <c r="A8" s="204" t="s">
        <v>1</v>
      </c>
      <c r="B8" s="205">
        <f>B$9+B$24</f>
        <v>209.76376640347002</v>
      </c>
      <c r="C8" s="205">
        <f>C$9+C$24</f>
        <v>180.12738288729997</v>
      </c>
      <c r="D8" s="205">
        <f>D$9+D$24</f>
        <v>9345.0806751427208</v>
      </c>
      <c r="E8" s="206">
        <f>E$9+E$24</f>
        <v>0.97315299999999993</v>
      </c>
    </row>
    <row r="9" spans="1:20" s="21" customFormat="1" ht="14.4" outlineLevel="2" collapsed="1" x14ac:dyDescent="0.25">
      <c r="A9" s="109" t="s">
        <v>3</v>
      </c>
      <c r="B9" s="110">
        <f>B$10+B$22</f>
        <v>44.968409390170002</v>
      </c>
      <c r="C9" s="110">
        <f>C$10+C$22</f>
        <v>38.615067010400004</v>
      </c>
      <c r="D9" s="110">
        <f>D$10+D$22</f>
        <v>2003.3651225245599</v>
      </c>
      <c r="E9" s="111">
        <f>E$10+E$22</f>
        <v>0.208621</v>
      </c>
    </row>
    <row r="10" spans="1:20" s="22" customFormat="1" ht="14.4" hidden="1" outlineLevel="3" x14ac:dyDescent="0.25">
      <c r="A10" s="207" t="s">
        <v>4</v>
      </c>
      <c r="B10" s="208">
        <f>SUM(B$11:B$21)</f>
        <v>44.940207709740001</v>
      </c>
      <c r="C10" s="208">
        <f>SUM(C$11:C$21)</f>
        <v>38.590849792260002</v>
      </c>
      <c r="D10" s="208">
        <f>SUM(D$11:D$21)</f>
        <v>2002.1087235604998</v>
      </c>
      <c r="E10" s="209">
        <f>SUM(E$11:E$21)</f>
        <v>0.20849000000000001</v>
      </c>
    </row>
    <row r="11" spans="1:20" hidden="1" outlineLevel="4" x14ac:dyDescent="0.3">
      <c r="A11" s="210" t="s">
        <v>7</v>
      </c>
      <c r="B11" s="211">
        <v>9.5397358060000007E-2</v>
      </c>
      <c r="C11" s="211">
        <v>8.1919183359999995E-2</v>
      </c>
      <c r="D11" s="211">
        <v>4.25</v>
      </c>
      <c r="E11" s="112">
        <v>4.4299999999999998E-4</v>
      </c>
      <c r="F11" s="30"/>
      <c r="G11" s="30"/>
      <c r="H11" s="30"/>
      <c r="I11" s="30"/>
      <c r="J11" s="30"/>
      <c r="K11" s="30"/>
      <c r="L11" s="30"/>
      <c r="M11" s="30"/>
      <c r="N11" s="30"/>
      <c r="O11" s="30"/>
      <c r="P11" s="30"/>
      <c r="Q11" s="30"/>
      <c r="R11" s="30"/>
    </row>
    <row r="12" spans="1:20" hidden="1" outlineLevel="4" x14ac:dyDescent="0.3">
      <c r="A12" s="189" t="s">
        <v>8</v>
      </c>
      <c r="B12" s="190">
        <v>0.34118584528000001</v>
      </c>
      <c r="C12" s="190">
        <v>0.29298154987000002</v>
      </c>
      <c r="D12" s="190">
        <v>15.2</v>
      </c>
      <c r="E12" s="212">
        <v>1.583E-3</v>
      </c>
      <c r="F12" s="30"/>
      <c r="G12" s="30"/>
      <c r="H12" s="30"/>
      <c r="I12" s="30"/>
      <c r="J12" s="30"/>
      <c r="K12" s="30"/>
      <c r="L12" s="30"/>
      <c r="M12" s="30"/>
      <c r="N12" s="30"/>
      <c r="O12" s="30"/>
      <c r="P12" s="30"/>
      <c r="Q12" s="30"/>
      <c r="R12" s="30"/>
    </row>
    <row r="13" spans="1:20" hidden="1" outlineLevel="4" x14ac:dyDescent="0.3">
      <c r="A13" s="189" t="s">
        <v>9</v>
      </c>
      <c r="B13" s="190">
        <v>2.40044439463</v>
      </c>
      <c r="C13" s="190">
        <v>2.0612986407</v>
      </c>
      <c r="D13" s="190">
        <v>106.94099799999999</v>
      </c>
      <c r="E13" s="212">
        <v>1.1136E-2</v>
      </c>
      <c r="F13" s="30"/>
      <c r="G13" s="30"/>
      <c r="H13" s="30"/>
      <c r="I13" s="30"/>
      <c r="J13" s="30"/>
      <c r="K13" s="30"/>
      <c r="L13" s="30"/>
      <c r="M13" s="30"/>
      <c r="N13" s="30"/>
      <c r="O13" s="30"/>
      <c r="P13" s="30"/>
      <c r="Q13" s="30"/>
      <c r="R13" s="30"/>
    </row>
    <row r="14" spans="1:20" hidden="1" outlineLevel="4" x14ac:dyDescent="0.3">
      <c r="A14" s="189" t="s">
        <v>10</v>
      </c>
      <c r="B14" s="190">
        <v>6.4032257325000002</v>
      </c>
      <c r="C14" s="190">
        <v>5.4985487388600003</v>
      </c>
      <c r="D14" s="190">
        <v>285.266908</v>
      </c>
      <c r="E14" s="212">
        <v>2.9706E-2</v>
      </c>
      <c r="F14" s="30"/>
      <c r="G14" s="30"/>
      <c r="H14" s="30"/>
      <c r="I14" s="30"/>
      <c r="J14" s="30"/>
      <c r="K14" s="30"/>
      <c r="L14" s="30"/>
      <c r="M14" s="30"/>
      <c r="N14" s="30"/>
      <c r="O14" s="30"/>
      <c r="P14" s="30"/>
      <c r="Q14" s="30"/>
      <c r="R14" s="30"/>
    </row>
    <row r="15" spans="1:20" hidden="1" outlineLevel="4" x14ac:dyDescent="0.3">
      <c r="A15" s="189" t="s">
        <v>13</v>
      </c>
      <c r="B15" s="190">
        <v>0.24051168898</v>
      </c>
      <c r="C15" s="190">
        <v>0.20653109845000001</v>
      </c>
      <c r="D15" s="190">
        <v>10.714916000000001</v>
      </c>
      <c r="E15" s="212">
        <v>1.116E-3</v>
      </c>
      <c r="F15" s="30"/>
      <c r="G15" s="30"/>
      <c r="H15" s="30"/>
      <c r="I15" s="30"/>
      <c r="J15" s="30"/>
      <c r="K15" s="30"/>
      <c r="L15" s="30"/>
      <c r="M15" s="30"/>
      <c r="N15" s="30"/>
      <c r="O15" s="30"/>
      <c r="P15" s="30"/>
      <c r="Q15" s="30"/>
      <c r="R15" s="30"/>
    </row>
    <row r="16" spans="1:20" hidden="1" outlineLevel="4" x14ac:dyDescent="0.3">
      <c r="A16" s="189" t="s">
        <v>14</v>
      </c>
      <c r="B16" s="190">
        <v>0.63337387905999998</v>
      </c>
      <c r="C16" s="190">
        <v>0.54388792298999999</v>
      </c>
      <c r="D16" s="190">
        <v>28.217123000000001</v>
      </c>
      <c r="E16" s="212">
        <v>2.9380000000000001E-3</v>
      </c>
      <c r="F16" s="30"/>
      <c r="G16" s="30"/>
      <c r="H16" s="30"/>
      <c r="I16" s="30"/>
      <c r="J16" s="30"/>
      <c r="K16" s="30"/>
      <c r="L16" s="30"/>
      <c r="M16" s="30"/>
      <c r="N16" s="30"/>
      <c r="O16" s="30"/>
      <c r="P16" s="30"/>
      <c r="Q16" s="30"/>
      <c r="R16" s="30"/>
    </row>
    <row r="17" spans="1:18" hidden="1" outlineLevel="4" x14ac:dyDescent="0.3">
      <c r="A17" s="189" t="s">
        <v>15</v>
      </c>
      <c r="B17" s="190">
        <v>9.6522587176600005</v>
      </c>
      <c r="C17" s="190">
        <v>8.28854349621</v>
      </c>
      <c r="D17" s="190">
        <v>430.01295199999998</v>
      </c>
      <c r="E17" s="212">
        <v>4.478E-2</v>
      </c>
      <c r="F17" s="30"/>
      <c r="G17" s="30"/>
      <c r="H17" s="30"/>
      <c r="I17" s="30"/>
      <c r="J17" s="30"/>
      <c r="K17" s="30"/>
      <c r="L17" s="30"/>
      <c r="M17" s="30"/>
      <c r="N17" s="30"/>
      <c r="O17" s="30"/>
      <c r="P17" s="30"/>
      <c r="Q17" s="30"/>
      <c r="R17" s="30"/>
    </row>
    <row r="18" spans="1:18" hidden="1" outlineLevel="4" x14ac:dyDescent="0.3">
      <c r="A18" s="189" t="s">
        <v>16</v>
      </c>
      <c r="B18" s="190">
        <v>0.92890681364000005</v>
      </c>
      <c r="C18" s="190">
        <v>0.79766661400000005</v>
      </c>
      <c r="D18" s="190">
        <v>41.383262999999999</v>
      </c>
      <c r="E18" s="212">
        <v>4.3090000000000003E-3</v>
      </c>
      <c r="F18" s="30"/>
      <c r="G18" s="30"/>
      <c r="H18" s="30"/>
      <c r="I18" s="30"/>
      <c r="J18" s="30"/>
      <c r="K18" s="30"/>
      <c r="L18" s="30"/>
      <c r="M18" s="30"/>
      <c r="N18" s="30"/>
      <c r="O18" s="30"/>
      <c r="P18" s="30"/>
      <c r="Q18" s="30"/>
      <c r="R18" s="30"/>
    </row>
    <row r="19" spans="1:18" hidden="1" outlineLevel="4" x14ac:dyDescent="0.3">
      <c r="A19" s="189" t="s">
        <v>17</v>
      </c>
      <c r="B19" s="190">
        <v>5.7062648007699996</v>
      </c>
      <c r="C19" s="190">
        <v>4.9000576326600003</v>
      </c>
      <c r="D19" s="190">
        <v>254.21695</v>
      </c>
      <c r="E19" s="212">
        <v>2.6473E-2</v>
      </c>
      <c r="F19" s="30"/>
      <c r="G19" s="30"/>
      <c r="H19" s="30"/>
      <c r="I19" s="30"/>
      <c r="J19" s="30"/>
      <c r="K19" s="30"/>
      <c r="L19" s="30"/>
      <c r="M19" s="30"/>
      <c r="N19" s="30"/>
      <c r="O19" s="30"/>
      <c r="P19" s="30"/>
      <c r="Q19" s="30"/>
      <c r="R19" s="30"/>
    </row>
    <row r="20" spans="1:18" hidden="1" outlineLevel="4" x14ac:dyDescent="0.3">
      <c r="A20" s="189" t="s">
        <v>18</v>
      </c>
      <c r="B20" s="190">
        <v>11.065806619530001</v>
      </c>
      <c r="C20" s="190">
        <v>9.5023788907599993</v>
      </c>
      <c r="D20" s="190">
        <v>492.98721780170001</v>
      </c>
      <c r="E20" s="212">
        <v>5.1337000000000001E-2</v>
      </c>
      <c r="F20" s="30"/>
      <c r="G20" s="30"/>
      <c r="H20" s="30"/>
      <c r="I20" s="30"/>
      <c r="J20" s="30"/>
      <c r="K20" s="30"/>
      <c r="L20" s="30"/>
      <c r="M20" s="30"/>
      <c r="N20" s="30"/>
      <c r="O20" s="30"/>
      <c r="P20" s="30"/>
      <c r="Q20" s="30"/>
      <c r="R20" s="30"/>
    </row>
    <row r="21" spans="1:18" hidden="1" outlineLevel="4" x14ac:dyDescent="0.3">
      <c r="A21" s="189" t="s">
        <v>19</v>
      </c>
      <c r="B21" s="190">
        <v>7.4728318596300003</v>
      </c>
      <c r="C21" s="190">
        <v>6.4170360243999998</v>
      </c>
      <c r="D21" s="190">
        <v>332.91839575879999</v>
      </c>
      <c r="E21" s="212">
        <v>3.4668999999999998E-2</v>
      </c>
      <c r="F21" s="30"/>
      <c r="G21" s="30"/>
      <c r="H21" s="30"/>
      <c r="I21" s="30"/>
      <c r="J21" s="30"/>
      <c r="K21" s="30"/>
      <c r="L21" s="30"/>
      <c r="M21" s="30"/>
      <c r="N21" s="30"/>
      <c r="O21" s="30"/>
      <c r="P21" s="30"/>
      <c r="Q21" s="30"/>
      <c r="R21" s="30"/>
    </row>
    <row r="22" spans="1:18" ht="14.4" hidden="1" outlineLevel="3" x14ac:dyDescent="0.3">
      <c r="A22" s="213" t="s">
        <v>20</v>
      </c>
      <c r="B22" s="214">
        <f>SUM(B$23:B$23)</f>
        <v>2.8201680430000001E-2</v>
      </c>
      <c r="C22" s="214">
        <f>SUM(C$23:C$23)</f>
        <v>2.421721814E-2</v>
      </c>
      <c r="D22" s="214">
        <f>SUM(D$23:D$23)</f>
        <v>1.25639896406</v>
      </c>
      <c r="E22" s="215">
        <f>SUM(E$23:E$23)</f>
        <v>1.3100000000000001E-4</v>
      </c>
      <c r="F22" s="30"/>
      <c r="G22" s="30"/>
      <c r="H22" s="30"/>
      <c r="I22" s="30"/>
      <c r="J22" s="30"/>
      <c r="K22" s="30"/>
      <c r="L22" s="30"/>
      <c r="M22" s="30"/>
      <c r="N22" s="30"/>
      <c r="O22" s="30"/>
      <c r="P22" s="30"/>
      <c r="Q22" s="30"/>
      <c r="R22" s="30"/>
    </row>
    <row r="23" spans="1:18" hidden="1" outlineLevel="4" x14ac:dyDescent="0.3">
      <c r="A23" s="189" t="s">
        <v>21</v>
      </c>
      <c r="B23" s="190">
        <v>2.8201680430000001E-2</v>
      </c>
      <c r="C23" s="190">
        <v>2.421721814E-2</v>
      </c>
      <c r="D23" s="190">
        <v>1.25639896406</v>
      </c>
      <c r="E23" s="212">
        <v>1.3100000000000001E-4</v>
      </c>
      <c r="F23" s="30"/>
      <c r="G23" s="30"/>
      <c r="H23" s="30"/>
      <c r="I23" s="30"/>
      <c r="J23" s="30"/>
      <c r="K23" s="30"/>
      <c r="L23" s="30"/>
      <c r="M23" s="30"/>
      <c r="N23" s="30"/>
      <c r="O23" s="30"/>
      <c r="P23" s="30"/>
      <c r="Q23" s="30"/>
      <c r="R23" s="30"/>
    </row>
    <row r="24" spans="1:18" ht="14.4" outlineLevel="2" collapsed="1" x14ac:dyDescent="0.3">
      <c r="A24" s="216" t="s">
        <v>22</v>
      </c>
      <c r="B24" s="217">
        <f>B$25+B$36+B$47+B$49+B$56+B$59+B$61</f>
        <v>164.79535701330002</v>
      </c>
      <c r="C24" s="217">
        <f>C$25+C$36+C$47+C$49+C$56+C$59+C$61</f>
        <v>141.51231587689998</v>
      </c>
      <c r="D24" s="217">
        <f>D$25+D$36+D$47+D$49+D$56+D$59+D$61</f>
        <v>7341.7155526181605</v>
      </c>
      <c r="E24" s="218">
        <f>E$25+E$36+E$47+E$49+E$56+E$59+E$61</f>
        <v>0.76453199999999999</v>
      </c>
      <c r="F24" s="30"/>
      <c r="G24" s="30"/>
      <c r="H24" s="30"/>
      <c r="I24" s="30"/>
      <c r="J24" s="30"/>
      <c r="K24" s="30"/>
      <c r="L24" s="30"/>
      <c r="M24" s="30"/>
      <c r="N24" s="30"/>
      <c r="O24" s="30"/>
      <c r="P24" s="30"/>
      <c r="Q24" s="30"/>
      <c r="R24" s="30"/>
    </row>
    <row r="25" spans="1:18" ht="14.4" hidden="1" outlineLevel="3" x14ac:dyDescent="0.3">
      <c r="A25" s="213" t="s">
        <v>23</v>
      </c>
      <c r="B25" s="214">
        <f>SUM(B$26:B$35)</f>
        <v>127.84683503487001</v>
      </c>
      <c r="C25" s="214">
        <f>SUM(C$26:C$35)</f>
        <v>109.78404993445</v>
      </c>
      <c r="D25" s="214">
        <f>SUM(D$26:D$35)</f>
        <v>5695.6404242189501</v>
      </c>
      <c r="E25" s="215">
        <f>SUM(E$26:E$35)</f>
        <v>0.59311599999999998</v>
      </c>
      <c r="F25" s="30"/>
      <c r="G25" s="30"/>
      <c r="H25" s="30"/>
      <c r="I25" s="30"/>
      <c r="J25" s="30"/>
      <c r="K25" s="30"/>
      <c r="L25" s="30"/>
      <c r="M25" s="30"/>
      <c r="N25" s="30"/>
      <c r="O25" s="30"/>
      <c r="P25" s="30"/>
      <c r="Q25" s="30"/>
      <c r="R25" s="30"/>
    </row>
    <row r="26" spans="1:18" hidden="1" outlineLevel="4" x14ac:dyDescent="0.3">
      <c r="A26" s="189" t="s">
        <v>24</v>
      </c>
      <c r="B26" s="190">
        <v>1.0645447190000001E-2</v>
      </c>
      <c r="C26" s="190">
        <v>9.1414097600000001E-3</v>
      </c>
      <c r="D26" s="190">
        <v>0.47425999490999998</v>
      </c>
      <c r="E26" s="212">
        <v>4.8999999999999998E-5</v>
      </c>
      <c r="F26" s="30"/>
      <c r="G26" s="30"/>
      <c r="H26" s="30"/>
      <c r="I26" s="30"/>
      <c r="J26" s="30"/>
      <c r="K26" s="30"/>
      <c r="L26" s="30"/>
      <c r="M26" s="30"/>
      <c r="N26" s="30"/>
      <c r="O26" s="30"/>
      <c r="P26" s="30"/>
      <c r="Q26" s="30"/>
      <c r="R26" s="30"/>
    </row>
    <row r="27" spans="1:18" hidden="1" outlineLevel="4" x14ac:dyDescent="0.3">
      <c r="A27" s="189" t="s">
        <v>25</v>
      </c>
      <c r="B27" s="190">
        <v>0.59643974599000005</v>
      </c>
      <c r="C27" s="190">
        <v>0.51217201300000004</v>
      </c>
      <c r="D27" s="190">
        <v>26.571688903249999</v>
      </c>
      <c r="E27" s="212">
        <v>2.7669999999999999E-3</v>
      </c>
      <c r="F27" s="30"/>
      <c r="G27" s="30"/>
      <c r="H27" s="30"/>
      <c r="I27" s="30"/>
      <c r="J27" s="30"/>
      <c r="K27" s="30"/>
      <c r="L27" s="30"/>
      <c r="M27" s="30"/>
      <c r="N27" s="30"/>
      <c r="O27" s="30"/>
      <c r="P27" s="30"/>
      <c r="Q27" s="30"/>
      <c r="R27" s="30"/>
    </row>
    <row r="28" spans="1:18" hidden="1" outlineLevel="4" x14ac:dyDescent="0.3">
      <c r="A28" s="189" t="s">
        <v>26</v>
      </c>
      <c r="B28" s="190">
        <v>6.646053918E-2</v>
      </c>
      <c r="C28" s="190">
        <v>5.7070690479999998E-2</v>
      </c>
      <c r="D28" s="190">
        <v>2.96085025038</v>
      </c>
      <c r="E28" s="212">
        <v>3.0800000000000001E-4</v>
      </c>
      <c r="F28" s="30"/>
      <c r="G28" s="30"/>
      <c r="H28" s="30"/>
      <c r="I28" s="30"/>
      <c r="J28" s="30"/>
      <c r="K28" s="30"/>
      <c r="L28" s="30"/>
      <c r="M28" s="30"/>
      <c r="N28" s="30"/>
      <c r="O28" s="30"/>
      <c r="P28" s="30"/>
      <c r="Q28" s="30"/>
      <c r="R28" s="30"/>
    </row>
    <row r="29" spans="1:18" hidden="1" outlineLevel="4" x14ac:dyDescent="0.3">
      <c r="A29" s="189" t="s">
        <v>27</v>
      </c>
      <c r="B29" s="190">
        <v>3.2410563487599999</v>
      </c>
      <c r="C29" s="190">
        <v>2.7831450965100002</v>
      </c>
      <c r="D29" s="190">
        <v>144.39068086498</v>
      </c>
      <c r="E29" s="212">
        <v>1.5036000000000001E-2</v>
      </c>
      <c r="F29" s="30"/>
      <c r="G29" s="30"/>
      <c r="H29" s="30"/>
      <c r="I29" s="30"/>
      <c r="J29" s="30"/>
      <c r="K29" s="30"/>
      <c r="L29" s="30"/>
      <c r="M29" s="30"/>
      <c r="N29" s="30"/>
      <c r="O29" s="30"/>
      <c r="P29" s="30"/>
      <c r="Q29" s="30"/>
      <c r="R29" s="30"/>
    </row>
    <row r="30" spans="1:18" hidden="1" outlineLevel="4" x14ac:dyDescent="0.3">
      <c r="A30" s="189" t="s">
        <v>28</v>
      </c>
      <c r="B30" s="190">
        <v>63.543662208740002</v>
      </c>
      <c r="C30" s="190">
        <v>54.565923224000002</v>
      </c>
      <c r="D30" s="190">
        <v>2830.9019232304099</v>
      </c>
      <c r="E30" s="212">
        <v>0.29479699999999998</v>
      </c>
      <c r="F30" s="30"/>
      <c r="G30" s="30"/>
      <c r="H30" s="30"/>
      <c r="I30" s="30"/>
      <c r="J30" s="30"/>
      <c r="K30" s="30"/>
      <c r="L30" s="30"/>
      <c r="M30" s="30"/>
      <c r="N30" s="30"/>
      <c r="O30" s="30"/>
      <c r="P30" s="30"/>
      <c r="Q30" s="30"/>
      <c r="R30" s="30"/>
    </row>
    <row r="31" spans="1:18" hidden="1" outlineLevel="4" x14ac:dyDescent="0.3">
      <c r="A31" s="189" t="s">
        <v>29</v>
      </c>
      <c r="B31" s="190">
        <v>20.89980686501</v>
      </c>
      <c r="C31" s="190">
        <v>17.946986641190001</v>
      </c>
      <c r="D31" s="190">
        <v>931.09684573958998</v>
      </c>
      <c r="E31" s="212">
        <v>9.6960000000000005E-2</v>
      </c>
      <c r="F31" s="30"/>
      <c r="G31" s="30"/>
      <c r="H31" s="30"/>
      <c r="I31" s="30"/>
      <c r="J31" s="30"/>
      <c r="K31" s="30"/>
      <c r="L31" s="30"/>
      <c r="M31" s="30"/>
      <c r="N31" s="30"/>
      <c r="O31" s="30"/>
      <c r="P31" s="30"/>
      <c r="Q31" s="30"/>
      <c r="R31" s="30"/>
    </row>
    <row r="32" spans="1:18" hidden="1" outlineLevel="4" x14ac:dyDescent="0.3">
      <c r="A32" s="189" t="s">
        <v>30</v>
      </c>
      <c r="B32" s="190">
        <v>6.5922608341400002</v>
      </c>
      <c r="C32" s="190">
        <v>5.6608760975400001</v>
      </c>
      <c r="D32" s="190">
        <v>293.68851629141</v>
      </c>
      <c r="E32" s="212">
        <v>3.0582999999999999E-2</v>
      </c>
      <c r="F32" s="30"/>
      <c r="G32" s="30"/>
      <c r="H32" s="30"/>
      <c r="I32" s="30"/>
      <c r="J32" s="30"/>
      <c r="K32" s="30"/>
      <c r="L32" s="30"/>
      <c r="M32" s="30"/>
      <c r="N32" s="30"/>
      <c r="O32" s="30"/>
      <c r="P32" s="30"/>
      <c r="Q32" s="30"/>
      <c r="R32" s="30"/>
    </row>
    <row r="33" spans="1:18" hidden="1" outlineLevel="4" x14ac:dyDescent="0.3">
      <c r="A33" s="189" t="s">
        <v>31</v>
      </c>
      <c r="B33" s="190">
        <v>18.160870873170001</v>
      </c>
      <c r="C33" s="190">
        <v>15.59502004292</v>
      </c>
      <c r="D33" s="190">
        <v>809.07587783455995</v>
      </c>
      <c r="E33" s="212">
        <v>8.4252999999999995E-2</v>
      </c>
      <c r="F33" s="30"/>
      <c r="G33" s="30"/>
      <c r="H33" s="30"/>
      <c r="I33" s="30"/>
      <c r="J33" s="30"/>
      <c r="K33" s="30"/>
      <c r="L33" s="30"/>
      <c r="M33" s="30"/>
      <c r="N33" s="30"/>
      <c r="O33" s="30"/>
      <c r="P33" s="30"/>
      <c r="Q33" s="30"/>
      <c r="R33" s="30"/>
    </row>
    <row r="34" spans="1:18" hidden="1" outlineLevel="4" x14ac:dyDescent="0.3">
      <c r="A34" s="189" t="s">
        <v>32</v>
      </c>
      <c r="B34" s="190">
        <v>14.640149653570001</v>
      </c>
      <c r="C34" s="190">
        <v>12.57172240657</v>
      </c>
      <c r="D34" s="190">
        <v>652.22598714139997</v>
      </c>
      <c r="E34" s="212">
        <v>6.7919999999999994E-2</v>
      </c>
      <c r="F34" s="30"/>
      <c r="G34" s="30"/>
      <c r="H34" s="30"/>
      <c r="I34" s="30"/>
      <c r="J34" s="30"/>
      <c r="K34" s="30"/>
      <c r="L34" s="30"/>
      <c r="M34" s="30"/>
      <c r="N34" s="30"/>
      <c r="O34" s="30"/>
      <c r="P34" s="30"/>
      <c r="Q34" s="30"/>
      <c r="R34" s="30"/>
    </row>
    <row r="35" spans="1:18" hidden="1" outlineLevel="4" x14ac:dyDescent="0.3">
      <c r="A35" s="189" t="s">
        <v>33</v>
      </c>
      <c r="B35" s="190">
        <v>9.5482519119999998E-2</v>
      </c>
      <c r="C35" s="190">
        <v>8.1992312479999996E-2</v>
      </c>
      <c r="D35" s="190">
        <v>4.2537939680600001</v>
      </c>
      <c r="E35" s="212">
        <v>4.4299999999999998E-4</v>
      </c>
      <c r="F35" s="30"/>
      <c r="G35" s="30"/>
      <c r="H35" s="30"/>
      <c r="I35" s="30"/>
      <c r="J35" s="30"/>
      <c r="K35" s="30"/>
      <c r="L35" s="30"/>
      <c r="M35" s="30"/>
      <c r="N35" s="30"/>
      <c r="O35" s="30"/>
      <c r="P35" s="30"/>
      <c r="Q35" s="30"/>
      <c r="R35" s="30"/>
    </row>
    <row r="36" spans="1:18" ht="14.4" hidden="1" outlineLevel="3" x14ac:dyDescent="0.3">
      <c r="A36" s="213" t="s">
        <v>34</v>
      </c>
      <c r="B36" s="214">
        <f>SUM(B$37:B$46)</f>
        <v>8.0544491854799993</v>
      </c>
      <c r="C36" s="214">
        <f>SUM(C$37:C$46)</f>
        <v>6.91647979658</v>
      </c>
      <c r="D36" s="214">
        <f>SUM(D$37:D$46)</f>
        <v>358.82973843775005</v>
      </c>
      <c r="E36" s="215">
        <f>SUM(E$37:E$46)</f>
        <v>3.7366999999999997E-2</v>
      </c>
      <c r="F36" s="30"/>
      <c r="G36" s="30"/>
      <c r="H36" s="30"/>
      <c r="I36" s="30"/>
      <c r="J36" s="30"/>
      <c r="K36" s="30"/>
      <c r="L36" s="30"/>
      <c r="M36" s="30"/>
      <c r="N36" s="30"/>
      <c r="O36" s="30"/>
      <c r="P36" s="30"/>
      <c r="Q36" s="30"/>
      <c r="R36" s="30"/>
    </row>
    <row r="37" spans="1:18" hidden="1" outlineLevel="4" x14ac:dyDescent="0.3">
      <c r="A37" s="189" t="s">
        <v>35</v>
      </c>
      <c r="B37" s="190">
        <v>2.5834923379999999E-2</v>
      </c>
      <c r="C37" s="190">
        <v>2.2184847349999998E-2</v>
      </c>
      <c r="D37" s="190">
        <v>1.1509587542299999</v>
      </c>
      <c r="E37" s="212">
        <v>1.2E-4</v>
      </c>
      <c r="F37" s="30"/>
      <c r="G37" s="30"/>
      <c r="H37" s="30"/>
      <c r="I37" s="30"/>
      <c r="J37" s="30"/>
      <c r="K37" s="30"/>
      <c r="L37" s="30"/>
      <c r="M37" s="30"/>
      <c r="N37" s="30"/>
      <c r="O37" s="30"/>
      <c r="P37" s="30"/>
      <c r="Q37" s="30"/>
      <c r="R37" s="30"/>
    </row>
    <row r="38" spans="1:18" hidden="1" outlineLevel="4" x14ac:dyDescent="0.3">
      <c r="A38" s="189" t="s">
        <v>36</v>
      </c>
      <c r="B38" s="190">
        <v>0.23290602798999999</v>
      </c>
      <c r="C38" s="190">
        <v>0.2</v>
      </c>
      <c r="D38" s="190">
        <v>10.37608</v>
      </c>
      <c r="E38" s="212">
        <v>1.0809999999999999E-3</v>
      </c>
      <c r="F38" s="30"/>
      <c r="G38" s="30"/>
      <c r="H38" s="30"/>
      <c r="I38" s="30"/>
      <c r="J38" s="30"/>
      <c r="K38" s="30"/>
      <c r="L38" s="30"/>
      <c r="M38" s="30"/>
      <c r="N38" s="30"/>
      <c r="O38" s="30"/>
      <c r="P38" s="30"/>
      <c r="Q38" s="30"/>
      <c r="R38" s="30"/>
    </row>
    <row r="39" spans="1:18" hidden="1" outlineLevel="4" x14ac:dyDescent="0.3">
      <c r="A39" s="189" t="s">
        <v>37</v>
      </c>
      <c r="B39" s="190">
        <v>5.2664139310899998</v>
      </c>
      <c r="C39" s="190">
        <v>4.5223509039399996</v>
      </c>
      <c r="D39" s="190">
        <v>234.62137383704001</v>
      </c>
      <c r="E39" s="212">
        <v>2.4431999999999999E-2</v>
      </c>
      <c r="F39" s="30"/>
      <c r="G39" s="30"/>
      <c r="H39" s="30"/>
      <c r="I39" s="30"/>
      <c r="J39" s="30"/>
      <c r="K39" s="30"/>
      <c r="L39" s="30"/>
      <c r="M39" s="30"/>
      <c r="N39" s="30"/>
      <c r="O39" s="30"/>
      <c r="P39" s="30"/>
      <c r="Q39" s="30"/>
      <c r="R39" s="30"/>
    </row>
    <row r="40" spans="1:18" hidden="1" outlineLevel="4" x14ac:dyDescent="0.3">
      <c r="A40" s="189" t="s">
        <v>38</v>
      </c>
      <c r="B40" s="190">
        <v>0.23290602798999999</v>
      </c>
      <c r="C40" s="190">
        <v>0.2</v>
      </c>
      <c r="D40" s="190">
        <v>10.37608</v>
      </c>
      <c r="E40" s="212">
        <v>1.0809999999999999E-3</v>
      </c>
      <c r="F40" s="30"/>
      <c r="G40" s="30"/>
      <c r="H40" s="30"/>
      <c r="I40" s="30"/>
      <c r="J40" s="30"/>
      <c r="K40" s="30"/>
      <c r="L40" s="30"/>
      <c r="M40" s="30"/>
      <c r="N40" s="30"/>
      <c r="O40" s="30"/>
      <c r="P40" s="30"/>
      <c r="Q40" s="30"/>
      <c r="R40" s="30"/>
    </row>
    <row r="41" spans="1:18" hidden="1" outlineLevel="4" x14ac:dyDescent="0.3">
      <c r="A41" s="189" t="s">
        <v>39</v>
      </c>
      <c r="B41" s="190">
        <v>0.66239069313999999</v>
      </c>
      <c r="C41" s="190">
        <v>0.56880510896000003</v>
      </c>
      <c r="D41" s="190">
        <v>29.509836574880001</v>
      </c>
      <c r="E41" s="212">
        <v>3.0730000000000002E-3</v>
      </c>
      <c r="F41" s="30"/>
      <c r="G41" s="30"/>
      <c r="H41" s="30"/>
      <c r="I41" s="30"/>
      <c r="J41" s="30"/>
      <c r="K41" s="30"/>
      <c r="L41" s="30"/>
      <c r="M41" s="30"/>
      <c r="N41" s="30"/>
      <c r="O41" s="30"/>
      <c r="P41" s="30"/>
      <c r="Q41" s="30"/>
      <c r="R41" s="30"/>
    </row>
    <row r="42" spans="1:18" hidden="1" outlineLevel="4" x14ac:dyDescent="0.3">
      <c r="A42" s="189" t="s">
        <v>40</v>
      </c>
      <c r="B42" s="190">
        <v>0.14144776754999999</v>
      </c>
      <c r="C42" s="190">
        <v>0.12146338055</v>
      </c>
      <c r="D42" s="190">
        <v>6.3015687682900001</v>
      </c>
      <c r="E42" s="212">
        <v>6.5600000000000001E-4</v>
      </c>
      <c r="F42" s="30"/>
      <c r="G42" s="30"/>
      <c r="H42" s="30"/>
      <c r="I42" s="30"/>
      <c r="J42" s="30"/>
      <c r="K42" s="30"/>
      <c r="L42" s="30"/>
      <c r="M42" s="30"/>
      <c r="N42" s="30"/>
      <c r="O42" s="30"/>
      <c r="P42" s="30"/>
      <c r="Q42" s="30"/>
      <c r="R42" s="30"/>
    </row>
    <row r="43" spans="1:18" hidden="1" outlineLevel="4" x14ac:dyDescent="0.3">
      <c r="A43" s="189" t="s">
        <v>41</v>
      </c>
      <c r="B43" s="190">
        <v>0.1</v>
      </c>
      <c r="C43" s="190">
        <v>8.5871543009999995E-2</v>
      </c>
      <c r="D43" s="190">
        <v>4.45505</v>
      </c>
      <c r="E43" s="212">
        <v>4.64E-4</v>
      </c>
      <c r="F43" s="30"/>
      <c r="G43" s="30"/>
      <c r="H43" s="30"/>
      <c r="I43" s="30"/>
      <c r="J43" s="30"/>
      <c r="K43" s="30"/>
      <c r="L43" s="30"/>
      <c r="M43" s="30"/>
      <c r="N43" s="30"/>
      <c r="O43" s="30"/>
      <c r="P43" s="30"/>
      <c r="Q43" s="30"/>
      <c r="R43" s="30"/>
    </row>
    <row r="44" spans="1:18" hidden="1" outlineLevel="4" x14ac:dyDescent="0.3">
      <c r="A44" s="189" t="s">
        <v>42</v>
      </c>
      <c r="B44" s="190">
        <v>5.1251526E-4</v>
      </c>
      <c r="C44" s="190">
        <v>4.4010476999999999E-4</v>
      </c>
      <c r="D44" s="190">
        <v>2.2832811089999999E-2</v>
      </c>
      <c r="E44" s="212">
        <v>1.9999999999999999E-6</v>
      </c>
      <c r="F44" s="30"/>
      <c r="G44" s="30"/>
      <c r="H44" s="30"/>
      <c r="I44" s="30"/>
      <c r="J44" s="30"/>
      <c r="K44" s="30"/>
      <c r="L44" s="30"/>
      <c r="M44" s="30"/>
      <c r="N44" s="30"/>
      <c r="O44" s="30"/>
      <c r="P44" s="30"/>
      <c r="Q44" s="30"/>
      <c r="R44" s="30"/>
    </row>
    <row r="45" spans="1:18" hidden="1" outlineLevel="4" x14ac:dyDescent="0.3">
      <c r="A45" s="189" t="s">
        <v>43</v>
      </c>
      <c r="B45" s="190">
        <v>0.54694320029999999</v>
      </c>
      <c r="C45" s="190">
        <v>0.46966856548000002</v>
      </c>
      <c r="D45" s="190">
        <v>24.366593044529999</v>
      </c>
      <c r="E45" s="212">
        <v>2.5370000000000002E-3</v>
      </c>
      <c r="F45" s="30"/>
      <c r="G45" s="30"/>
      <c r="H45" s="30"/>
      <c r="I45" s="30"/>
      <c r="J45" s="30"/>
      <c r="K45" s="30"/>
      <c r="L45" s="30"/>
      <c r="M45" s="30"/>
      <c r="N45" s="30"/>
      <c r="O45" s="30"/>
      <c r="P45" s="30"/>
      <c r="Q45" s="30"/>
      <c r="R45" s="30"/>
    </row>
    <row r="46" spans="1:18" hidden="1" outlineLevel="4" x14ac:dyDescent="0.3">
      <c r="A46" s="189" t="s">
        <v>44</v>
      </c>
      <c r="B46" s="190">
        <v>0.84509409877999997</v>
      </c>
      <c r="C46" s="190">
        <v>0.72569534252000001</v>
      </c>
      <c r="D46" s="190">
        <v>37.64936464769</v>
      </c>
      <c r="E46" s="212">
        <v>3.921E-3</v>
      </c>
      <c r="F46" s="30"/>
      <c r="G46" s="30"/>
      <c r="H46" s="30"/>
      <c r="I46" s="30"/>
      <c r="J46" s="30"/>
      <c r="K46" s="30"/>
      <c r="L46" s="30"/>
      <c r="M46" s="30"/>
      <c r="N46" s="30"/>
      <c r="O46" s="30"/>
      <c r="P46" s="30"/>
      <c r="Q46" s="30"/>
      <c r="R46" s="30"/>
    </row>
    <row r="47" spans="1:18" ht="14.4" hidden="1" outlineLevel="3" x14ac:dyDescent="0.3">
      <c r="A47" s="213" t="s">
        <v>45</v>
      </c>
      <c r="B47" s="214">
        <f>SUM(B$48:B$48)</f>
        <v>0.60585586000000002</v>
      </c>
      <c r="C47" s="214">
        <f>SUM(C$48:C$48)</f>
        <v>0.52025777539999996</v>
      </c>
      <c r="D47" s="214">
        <f>SUM(D$48:D$48)</f>
        <v>26.99118149093</v>
      </c>
      <c r="E47" s="215">
        <f>SUM(E$48:E$48)</f>
        <v>2.8110000000000001E-3</v>
      </c>
      <c r="F47" s="30"/>
      <c r="G47" s="30"/>
      <c r="H47" s="30"/>
      <c r="I47" s="30"/>
      <c r="J47" s="30"/>
      <c r="K47" s="30"/>
      <c r="L47" s="30"/>
      <c r="M47" s="30"/>
      <c r="N47" s="30"/>
      <c r="O47" s="30"/>
      <c r="P47" s="30"/>
      <c r="Q47" s="30"/>
      <c r="R47" s="30"/>
    </row>
    <row r="48" spans="1:18" hidden="1" outlineLevel="4" x14ac:dyDescent="0.3">
      <c r="A48" s="189" t="s">
        <v>46</v>
      </c>
      <c r="B48" s="190">
        <v>0.60585586000000002</v>
      </c>
      <c r="C48" s="190">
        <v>0.52025777539999996</v>
      </c>
      <c r="D48" s="190">
        <v>26.99118149093</v>
      </c>
      <c r="E48" s="212">
        <v>2.8110000000000001E-3</v>
      </c>
      <c r="F48" s="30"/>
      <c r="G48" s="30"/>
      <c r="H48" s="30"/>
      <c r="I48" s="30"/>
      <c r="J48" s="30"/>
      <c r="K48" s="30"/>
      <c r="L48" s="30"/>
      <c r="M48" s="30"/>
      <c r="N48" s="30"/>
      <c r="O48" s="30"/>
      <c r="P48" s="30"/>
      <c r="Q48" s="30"/>
      <c r="R48" s="30"/>
    </row>
    <row r="49" spans="1:18" ht="14.4" hidden="1" outlineLevel="3" x14ac:dyDescent="0.3">
      <c r="A49" s="213" t="s">
        <v>47</v>
      </c>
      <c r="B49" s="214">
        <f>SUM(B$50:B$55)</f>
        <v>2.2171012581099996</v>
      </c>
      <c r="C49" s="214">
        <f>SUM(C$50:C$55)</f>
        <v>1.9038590604300001</v>
      </c>
      <c r="D49" s="214">
        <f>SUM(D$50:D$55)</f>
        <v>98.772969598670002</v>
      </c>
      <c r="E49" s="215">
        <f>SUM(E$50:E$55)</f>
        <v>1.0286E-2</v>
      </c>
      <c r="F49" s="30"/>
      <c r="G49" s="30"/>
      <c r="H49" s="30"/>
      <c r="I49" s="30"/>
      <c r="J49" s="30"/>
      <c r="K49" s="30"/>
      <c r="L49" s="30"/>
      <c r="M49" s="30"/>
      <c r="N49" s="30"/>
      <c r="O49" s="30"/>
      <c r="P49" s="30"/>
      <c r="Q49" s="30"/>
      <c r="R49" s="30"/>
    </row>
    <row r="50" spans="1:18" hidden="1" outlineLevel="4" x14ac:dyDescent="0.3">
      <c r="A50" s="189" t="s">
        <v>48</v>
      </c>
      <c r="B50" s="190">
        <v>0.75694459099</v>
      </c>
      <c r="C50" s="190">
        <v>0.65</v>
      </c>
      <c r="D50" s="190">
        <v>33.722259999999999</v>
      </c>
      <c r="E50" s="212">
        <v>3.5119999999999999E-3</v>
      </c>
      <c r="F50" s="30"/>
      <c r="G50" s="30"/>
      <c r="H50" s="30"/>
      <c r="I50" s="30"/>
      <c r="J50" s="30"/>
      <c r="K50" s="30"/>
      <c r="L50" s="30"/>
      <c r="M50" s="30"/>
      <c r="N50" s="30"/>
      <c r="O50" s="30"/>
      <c r="P50" s="30"/>
      <c r="Q50" s="30"/>
      <c r="R50" s="30"/>
    </row>
    <row r="51" spans="1:18" hidden="1" outlineLevel="4" x14ac:dyDescent="0.3">
      <c r="A51" s="189" t="s">
        <v>49</v>
      </c>
      <c r="B51" s="190">
        <v>5.9541489999999998E-5</v>
      </c>
      <c r="C51" s="190">
        <v>5.1129199999999998E-5</v>
      </c>
      <c r="D51" s="190">
        <v>2.6526033499999998E-3</v>
      </c>
      <c r="E51" s="212">
        <v>0</v>
      </c>
      <c r="F51" s="30"/>
      <c r="G51" s="30"/>
      <c r="H51" s="30"/>
      <c r="I51" s="30"/>
      <c r="J51" s="30"/>
      <c r="K51" s="30"/>
      <c r="L51" s="30"/>
      <c r="M51" s="30"/>
      <c r="N51" s="30"/>
      <c r="O51" s="30"/>
      <c r="P51" s="30"/>
      <c r="Q51" s="30"/>
      <c r="R51" s="30"/>
    </row>
    <row r="52" spans="1:18" hidden="1" outlineLevel="4" x14ac:dyDescent="0.3">
      <c r="A52" s="189" t="s">
        <v>50</v>
      </c>
      <c r="B52" s="190">
        <v>0.82491232078999999</v>
      </c>
      <c r="C52" s="190">
        <v>0.70836493834000003</v>
      </c>
      <c r="D52" s="190">
        <v>36.750256347190003</v>
      </c>
      <c r="E52" s="212">
        <v>3.8270000000000001E-3</v>
      </c>
      <c r="F52" s="30"/>
      <c r="G52" s="30"/>
      <c r="H52" s="30"/>
      <c r="I52" s="30"/>
      <c r="J52" s="30"/>
      <c r="K52" s="30"/>
      <c r="L52" s="30"/>
      <c r="M52" s="30"/>
      <c r="N52" s="30"/>
      <c r="O52" s="30"/>
      <c r="P52" s="30"/>
      <c r="Q52" s="30"/>
      <c r="R52" s="30"/>
    </row>
    <row r="53" spans="1:18" hidden="1" outlineLevel="4" x14ac:dyDescent="0.3">
      <c r="A53" s="189" t="s">
        <v>51</v>
      </c>
      <c r="B53" s="190">
        <v>0.13872094767000001</v>
      </c>
      <c r="C53" s="190">
        <v>0.11912181824</v>
      </c>
      <c r="D53" s="190">
        <v>6.1800875790200003</v>
      </c>
      <c r="E53" s="212">
        <v>6.4400000000000004E-4</v>
      </c>
      <c r="F53" s="30"/>
      <c r="G53" s="30"/>
      <c r="H53" s="30"/>
      <c r="I53" s="30"/>
      <c r="J53" s="30"/>
      <c r="K53" s="30"/>
      <c r="L53" s="30"/>
      <c r="M53" s="30"/>
      <c r="N53" s="30"/>
      <c r="O53" s="30"/>
      <c r="P53" s="30"/>
      <c r="Q53" s="30"/>
      <c r="R53" s="30"/>
    </row>
    <row r="54" spans="1:18" hidden="1" outlineLevel="4" x14ac:dyDescent="0.3">
      <c r="A54" s="189" t="s">
        <v>52</v>
      </c>
      <c r="B54" s="190">
        <v>0.28392775829</v>
      </c>
      <c r="C54" s="190">
        <v>0.24381314707999999</v>
      </c>
      <c r="D54" s="190">
        <v>12.64912359577</v>
      </c>
      <c r="E54" s="212">
        <v>1.317E-3</v>
      </c>
      <c r="F54" s="30"/>
      <c r="G54" s="30"/>
      <c r="H54" s="30"/>
      <c r="I54" s="30"/>
      <c r="J54" s="30"/>
      <c r="K54" s="30"/>
      <c r="L54" s="30"/>
      <c r="M54" s="30"/>
      <c r="N54" s="30"/>
      <c r="O54" s="30"/>
      <c r="P54" s="30"/>
      <c r="Q54" s="30"/>
      <c r="R54" s="30"/>
    </row>
    <row r="55" spans="1:18" hidden="1" outlineLevel="4" x14ac:dyDescent="0.3">
      <c r="A55" s="189" t="s">
        <v>53</v>
      </c>
      <c r="B55" s="190">
        <v>0.21253609888</v>
      </c>
      <c r="C55" s="190">
        <v>0.18250802757000001</v>
      </c>
      <c r="D55" s="190">
        <v>9.4685894733399998</v>
      </c>
      <c r="E55" s="212">
        <v>9.859999999999999E-4</v>
      </c>
      <c r="F55" s="30"/>
      <c r="G55" s="30"/>
      <c r="H55" s="30"/>
      <c r="I55" s="30"/>
      <c r="J55" s="30"/>
      <c r="K55" s="30"/>
      <c r="L55" s="30"/>
      <c r="M55" s="30"/>
      <c r="N55" s="30"/>
      <c r="O55" s="30"/>
      <c r="P55" s="30"/>
      <c r="Q55" s="30"/>
      <c r="R55" s="30"/>
    </row>
    <row r="56" spans="1:18" ht="14.4" hidden="1" outlineLevel="3" x14ac:dyDescent="0.3">
      <c r="A56" s="213" t="s">
        <v>54</v>
      </c>
      <c r="B56" s="214">
        <f>SUM(B$57:B$58)</f>
        <v>18.750640004000001</v>
      </c>
      <c r="C56" s="214">
        <f>SUM(C$57:C$58)</f>
        <v>16.101463895790001</v>
      </c>
      <c r="D56" s="214">
        <f>SUM(D$57:D$58)</f>
        <v>835.35038749821001</v>
      </c>
      <c r="E56" s="215">
        <f>SUM(E$57:E$58)</f>
        <v>8.6990000000000012E-2</v>
      </c>
      <c r="F56" s="30"/>
      <c r="G56" s="30"/>
      <c r="H56" s="30"/>
      <c r="I56" s="30"/>
      <c r="J56" s="30"/>
      <c r="K56" s="30"/>
      <c r="L56" s="30"/>
      <c r="M56" s="30"/>
      <c r="N56" s="30"/>
      <c r="O56" s="30"/>
      <c r="P56" s="30"/>
      <c r="Q56" s="30"/>
      <c r="R56" s="30"/>
    </row>
    <row r="57" spans="1:18" hidden="1" outlineLevel="4" x14ac:dyDescent="0.3">
      <c r="A57" s="189" t="s">
        <v>61</v>
      </c>
      <c r="B57" s="190">
        <v>15.252974684</v>
      </c>
      <c r="C57" s="190">
        <v>13.09796471616</v>
      </c>
      <c r="D57" s="190">
        <v>679.52764865954998</v>
      </c>
      <c r="E57" s="212">
        <v>7.0763000000000006E-2</v>
      </c>
      <c r="F57" s="30"/>
      <c r="G57" s="30"/>
      <c r="H57" s="30"/>
      <c r="I57" s="30"/>
      <c r="J57" s="30"/>
      <c r="K57" s="30"/>
      <c r="L57" s="30"/>
      <c r="M57" s="30"/>
      <c r="N57" s="30"/>
      <c r="O57" s="30"/>
      <c r="P57" s="30"/>
      <c r="Q57" s="30"/>
      <c r="R57" s="30"/>
    </row>
    <row r="58" spans="1:18" hidden="1" outlineLevel="4" x14ac:dyDescent="0.3">
      <c r="A58" s="189" t="s">
        <v>62</v>
      </c>
      <c r="B58" s="190">
        <v>3.4976653199999999</v>
      </c>
      <c r="C58" s="190">
        <v>3.0034991796299999</v>
      </c>
      <c r="D58" s="190">
        <v>155.82273883866</v>
      </c>
      <c r="E58" s="212">
        <v>1.6226999999999998E-2</v>
      </c>
      <c r="F58" s="30"/>
      <c r="G58" s="30"/>
      <c r="H58" s="30"/>
      <c r="I58" s="30"/>
      <c r="J58" s="30"/>
      <c r="K58" s="30"/>
      <c r="L58" s="30"/>
      <c r="M58" s="30"/>
      <c r="N58" s="30"/>
      <c r="O58" s="30"/>
      <c r="P58" s="30"/>
      <c r="Q58" s="30"/>
      <c r="R58" s="30"/>
    </row>
    <row r="59" spans="1:18" ht="14.4" hidden="1" outlineLevel="3" x14ac:dyDescent="0.3">
      <c r="A59" s="213" t="s">
        <v>63</v>
      </c>
      <c r="B59" s="214">
        <f>SUM(B$60:B$60)</f>
        <v>3</v>
      </c>
      <c r="C59" s="214">
        <f>SUM(C$60:C$60)</f>
        <v>2.5761462903100001</v>
      </c>
      <c r="D59" s="214">
        <f>SUM(D$60:D$60)</f>
        <v>133.6515</v>
      </c>
      <c r="E59" s="215">
        <f>SUM(E$60:E$60)</f>
        <v>1.3918E-2</v>
      </c>
      <c r="F59" s="30"/>
      <c r="G59" s="30"/>
      <c r="H59" s="30"/>
      <c r="I59" s="30"/>
      <c r="J59" s="30"/>
      <c r="K59" s="30"/>
      <c r="L59" s="30"/>
      <c r="M59" s="30"/>
      <c r="N59" s="30"/>
      <c r="O59" s="30"/>
      <c r="P59" s="30"/>
      <c r="Q59" s="30"/>
      <c r="R59" s="30"/>
    </row>
    <row r="60" spans="1:18" hidden="1" outlineLevel="4" x14ac:dyDescent="0.3">
      <c r="A60" s="189" t="s">
        <v>64</v>
      </c>
      <c r="B60" s="190">
        <v>3</v>
      </c>
      <c r="C60" s="190">
        <v>2.5761462903100001</v>
      </c>
      <c r="D60" s="190">
        <v>133.6515</v>
      </c>
      <c r="E60" s="212">
        <v>1.3918E-2</v>
      </c>
      <c r="F60" s="30"/>
      <c r="G60" s="30"/>
      <c r="H60" s="30"/>
      <c r="I60" s="30"/>
      <c r="J60" s="30"/>
      <c r="K60" s="30"/>
      <c r="L60" s="30"/>
      <c r="M60" s="30"/>
      <c r="N60" s="30"/>
      <c r="O60" s="30"/>
      <c r="P60" s="30"/>
      <c r="Q60" s="30"/>
      <c r="R60" s="30"/>
    </row>
    <row r="61" spans="1:18" ht="14.4" hidden="1" outlineLevel="3" x14ac:dyDescent="0.3">
      <c r="A61" s="213" t="s">
        <v>65</v>
      </c>
      <c r="B61" s="214">
        <f>SUM(B$62:B$62)</f>
        <v>4.3204756708399996</v>
      </c>
      <c r="C61" s="214">
        <f>SUM(C$62:C$62)</f>
        <v>3.7100591239399998</v>
      </c>
      <c r="D61" s="214">
        <f>SUM(D$62:D$62)</f>
        <v>192.47935137364999</v>
      </c>
      <c r="E61" s="215">
        <f>SUM(E$62:E$62)</f>
        <v>2.0043999999999999E-2</v>
      </c>
      <c r="F61" s="30"/>
      <c r="G61" s="30"/>
      <c r="H61" s="30"/>
      <c r="I61" s="30"/>
      <c r="J61" s="30"/>
      <c r="K61" s="30"/>
      <c r="L61" s="30"/>
      <c r="M61" s="30"/>
      <c r="N61" s="30"/>
      <c r="O61" s="30"/>
      <c r="P61" s="30"/>
      <c r="Q61" s="30"/>
      <c r="R61" s="30"/>
    </row>
    <row r="62" spans="1:18" hidden="1" outlineLevel="4" x14ac:dyDescent="0.3">
      <c r="A62" s="189" t="s">
        <v>32</v>
      </c>
      <c r="B62" s="190">
        <v>4.3204756708399996</v>
      </c>
      <c r="C62" s="190">
        <v>3.7100591239399998</v>
      </c>
      <c r="D62" s="190">
        <v>192.47935137364999</v>
      </c>
      <c r="E62" s="212">
        <v>2.0043999999999999E-2</v>
      </c>
      <c r="F62" s="30"/>
      <c r="G62" s="30"/>
      <c r="H62" s="30"/>
      <c r="I62" s="30"/>
      <c r="J62" s="30"/>
      <c r="K62" s="30"/>
      <c r="L62" s="30"/>
      <c r="M62" s="30"/>
      <c r="N62" s="30"/>
      <c r="O62" s="30"/>
      <c r="P62" s="30"/>
      <c r="Q62" s="30"/>
      <c r="R62" s="30"/>
    </row>
    <row r="63" spans="1:18" ht="14.4" outlineLevel="1" x14ac:dyDescent="0.3">
      <c r="A63" s="219" t="s">
        <v>2</v>
      </c>
      <c r="B63" s="220">
        <f>B$64+B$75</f>
        <v>5.7869695863799997</v>
      </c>
      <c r="C63" s="220">
        <f>C$64+C$75</f>
        <v>4.9693600774000002</v>
      </c>
      <c r="D63" s="220">
        <f>D$64+D$75</f>
        <v>257.81238855825006</v>
      </c>
      <c r="E63" s="221">
        <f>E$64+E$75</f>
        <v>2.6847000000000003E-2</v>
      </c>
      <c r="F63" s="30"/>
      <c r="G63" s="30"/>
      <c r="H63" s="30"/>
      <c r="I63" s="30"/>
      <c r="J63" s="30"/>
      <c r="K63" s="30"/>
      <c r="L63" s="30"/>
      <c r="M63" s="30"/>
      <c r="N63" s="30"/>
      <c r="O63" s="30"/>
      <c r="P63" s="30"/>
      <c r="Q63" s="30"/>
      <c r="R63" s="30"/>
    </row>
    <row r="64" spans="1:18" ht="14.4" outlineLevel="2" collapsed="1" x14ac:dyDescent="0.3">
      <c r="A64" s="216" t="s">
        <v>3</v>
      </c>
      <c r="B64" s="217">
        <f>B$65+B$68+B$73</f>
        <v>1.3874904941999999</v>
      </c>
      <c r="C64" s="217">
        <f>C$65+C$68+C$73</f>
        <v>1.1914594964999998</v>
      </c>
      <c r="D64" s="217">
        <f>D$65+D$68+D$73</f>
        <v>61.813395261350003</v>
      </c>
      <c r="E64" s="218">
        <f>E$65+E$68+E$73</f>
        <v>6.437E-3</v>
      </c>
      <c r="F64" s="30"/>
      <c r="G64" s="30"/>
      <c r="H64" s="30"/>
      <c r="I64" s="30"/>
      <c r="J64" s="30"/>
      <c r="K64" s="30"/>
      <c r="L64" s="30"/>
      <c r="M64" s="30"/>
      <c r="N64" s="30"/>
      <c r="O64" s="30"/>
      <c r="P64" s="30"/>
      <c r="Q64" s="30"/>
      <c r="R64" s="30"/>
    </row>
    <row r="65" spans="1:18" ht="14.4" hidden="1" outlineLevel="3" x14ac:dyDescent="0.3">
      <c r="A65" s="213" t="s">
        <v>4</v>
      </c>
      <c r="B65" s="214">
        <f>SUM(B$66:B$67)</f>
        <v>5.5555192419999996E-2</v>
      </c>
      <c r="C65" s="214">
        <f>SUM(C$66:C$67)</f>
        <v>4.7706100950000004E-2</v>
      </c>
      <c r="D65" s="214">
        <f>SUM(D$66:D$67)</f>
        <v>2.4750116000000002</v>
      </c>
      <c r="E65" s="215">
        <f>SUM(E$66:E$67)</f>
        <v>2.5799999999999998E-4</v>
      </c>
      <c r="F65" s="30"/>
      <c r="G65" s="30"/>
      <c r="H65" s="30"/>
      <c r="I65" s="30"/>
      <c r="J65" s="30"/>
      <c r="K65" s="30"/>
      <c r="L65" s="30"/>
      <c r="M65" s="30"/>
      <c r="N65" s="30"/>
      <c r="O65" s="30"/>
      <c r="P65" s="30"/>
      <c r="Q65" s="30"/>
      <c r="R65" s="30"/>
    </row>
    <row r="66" spans="1:18" hidden="1" outlineLevel="4" x14ac:dyDescent="0.3">
      <c r="A66" s="189" t="s">
        <v>66</v>
      </c>
      <c r="B66" s="190">
        <v>2.6038000000000001E-7</v>
      </c>
      <c r="C66" s="190">
        <v>2.2359000000000001E-7</v>
      </c>
      <c r="D66" s="190">
        <v>1.1600000000000001E-5</v>
      </c>
      <c r="E66" s="212">
        <v>0</v>
      </c>
      <c r="F66" s="30"/>
      <c r="G66" s="30"/>
      <c r="H66" s="30"/>
      <c r="I66" s="30"/>
      <c r="J66" s="30"/>
      <c r="K66" s="30"/>
      <c r="L66" s="30"/>
      <c r="M66" s="30"/>
      <c r="N66" s="30"/>
      <c r="O66" s="30"/>
      <c r="P66" s="30"/>
      <c r="Q66" s="30"/>
      <c r="R66" s="30"/>
    </row>
    <row r="67" spans="1:18" hidden="1" outlineLevel="4" x14ac:dyDescent="0.3">
      <c r="A67" s="189" t="s">
        <v>67</v>
      </c>
      <c r="B67" s="190">
        <v>5.5554932039999998E-2</v>
      </c>
      <c r="C67" s="190">
        <v>4.7705877360000003E-2</v>
      </c>
      <c r="D67" s="190">
        <v>2.4750000000000001</v>
      </c>
      <c r="E67" s="212">
        <v>2.5799999999999998E-4</v>
      </c>
      <c r="F67" s="30"/>
      <c r="G67" s="30"/>
      <c r="H67" s="30"/>
      <c r="I67" s="30"/>
      <c r="J67" s="30"/>
      <c r="K67" s="30"/>
      <c r="L67" s="30"/>
      <c r="M67" s="30"/>
      <c r="N67" s="30"/>
      <c r="O67" s="30"/>
      <c r="P67" s="30"/>
      <c r="Q67" s="30"/>
      <c r="R67" s="30"/>
    </row>
    <row r="68" spans="1:18" ht="14.4" hidden="1" outlineLevel="3" x14ac:dyDescent="0.3">
      <c r="A68" s="213" t="s">
        <v>20</v>
      </c>
      <c r="B68" s="214">
        <f>SUM(B$69:B$72)</f>
        <v>1.33191387329</v>
      </c>
      <c r="C68" s="214">
        <f>SUM(C$69:C$72)</f>
        <v>1.1437349945699999</v>
      </c>
      <c r="D68" s="214">
        <f>SUM(D$69:D$72)</f>
        <v>59.337429011350004</v>
      </c>
      <c r="E68" s="215">
        <f>SUM(E$69:E$72)</f>
        <v>6.1790000000000005E-3</v>
      </c>
      <c r="F68" s="30"/>
      <c r="G68" s="30"/>
      <c r="H68" s="30"/>
      <c r="I68" s="30"/>
      <c r="J68" s="30"/>
      <c r="K68" s="30"/>
      <c r="L68" s="30"/>
      <c r="M68" s="30"/>
      <c r="N68" s="30"/>
      <c r="O68" s="30"/>
      <c r="P68" s="30"/>
      <c r="Q68" s="30"/>
      <c r="R68" s="30"/>
    </row>
    <row r="69" spans="1:18" hidden="1" outlineLevel="4" x14ac:dyDescent="0.3">
      <c r="A69" s="189" t="s">
        <v>72</v>
      </c>
      <c r="B69" s="190">
        <v>3.101228415E-2</v>
      </c>
      <c r="C69" s="190">
        <v>2.6630726939999998E-2</v>
      </c>
      <c r="D69" s="190">
        <v>1.3816127654599999</v>
      </c>
      <c r="E69" s="212">
        <v>1.44E-4</v>
      </c>
      <c r="F69" s="30"/>
      <c r="G69" s="30"/>
      <c r="H69" s="30"/>
      <c r="I69" s="30"/>
      <c r="J69" s="30"/>
      <c r="K69" s="30"/>
      <c r="L69" s="30"/>
      <c r="M69" s="30"/>
      <c r="N69" s="30"/>
      <c r="O69" s="30"/>
      <c r="P69" s="30"/>
      <c r="Q69" s="30"/>
      <c r="R69" s="30"/>
    </row>
    <row r="70" spans="1:18" hidden="1" outlineLevel="4" x14ac:dyDescent="0.3">
      <c r="A70" s="189" t="s">
        <v>74</v>
      </c>
      <c r="B70" s="190">
        <v>0.1731396395</v>
      </c>
      <c r="C70" s="190">
        <v>0.14867767999000001</v>
      </c>
      <c r="D70" s="190">
        <v>7.7134575091700004</v>
      </c>
      <c r="E70" s="212">
        <v>8.03E-4</v>
      </c>
      <c r="F70" s="30"/>
      <c r="G70" s="30"/>
      <c r="H70" s="30"/>
      <c r="I70" s="30"/>
      <c r="J70" s="30"/>
      <c r="K70" s="30"/>
      <c r="L70" s="30"/>
      <c r="M70" s="30"/>
      <c r="N70" s="30"/>
      <c r="O70" s="30"/>
      <c r="P70" s="30"/>
      <c r="Q70" s="30"/>
      <c r="R70" s="30"/>
    </row>
    <row r="71" spans="1:18" hidden="1" outlineLevel="4" x14ac:dyDescent="0.3">
      <c r="A71" s="189" t="s">
        <v>75</v>
      </c>
      <c r="B71" s="190">
        <v>0.30448624317</v>
      </c>
      <c r="C71" s="190">
        <v>0.26146703526999998</v>
      </c>
      <c r="D71" s="190">
        <v>13.56501437673</v>
      </c>
      <c r="E71" s="212">
        <v>1.413E-3</v>
      </c>
      <c r="F71" s="30"/>
      <c r="G71" s="30"/>
      <c r="H71" s="30"/>
      <c r="I71" s="30"/>
      <c r="J71" s="30"/>
      <c r="K71" s="30"/>
      <c r="L71" s="30"/>
      <c r="M71" s="30"/>
      <c r="N71" s="30"/>
      <c r="O71" s="30"/>
      <c r="P71" s="30"/>
      <c r="Q71" s="30"/>
      <c r="R71" s="30"/>
    </row>
    <row r="72" spans="1:18" hidden="1" outlineLevel="4" x14ac:dyDescent="0.3">
      <c r="A72" s="189" t="s">
        <v>78</v>
      </c>
      <c r="B72" s="190">
        <v>0.82327570647000003</v>
      </c>
      <c r="C72" s="190">
        <v>0.70695955236999997</v>
      </c>
      <c r="D72" s="190">
        <v>36.677344359990002</v>
      </c>
      <c r="E72" s="212">
        <v>3.8189999999999999E-3</v>
      </c>
      <c r="F72" s="30"/>
      <c r="G72" s="30"/>
      <c r="H72" s="30"/>
      <c r="I72" s="30"/>
      <c r="J72" s="30"/>
      <c r="K72" s="30"/>
      <c r="L72" s="30"/>
      <c r="M72" s="30"/>
      <c r="N72" s="30"/>
      <c r="O72" s="30"/>
      <c r="P72" s="30"/>
      <c r="Q72" s="30"/>
      <c r="R72" s="30"/>
    </row>
    <row r="73" spans="1:18" ht="14.4" hidden="1" outlineLevel="3" x14ac:dyDescent="0.3">
      <c r="A73" s="213" t="s">
        <v>79</v>
      </c>
      <c r="B73" s="214">
        <f>SUM(B$74:B$74)</f>
        <v>2.1428489999999999E-5</v>
      </c>
      <c r="C73" s="214">
        <f>SUM(C$74:C$74)</f>
        <v>1.8400980000000001E-5</v>
      </c>
      <c r="D73" s="214">
        <f>SUM(D$74:D$74)</f>
        <v>9.5465000000000003E-4</v>
      </c>
      <c r="E73" s="215">
        <f>SUM(E$74:E$74)</f>
        <v>0</v>
      </c>
      <c r="F73" s="30"/>
      <c r="G73" s="30"/>
      <c r="H73" s="30"/>
      <c r="I73" s="30"/>
      <c r="J73" s="30"/>
      <c r="K73" s="30"/>
      <c r="L73" s="30"/>
      <c r="M73" s="30"/>
      <c r="N73" s="30"/>
      <c r="O73" s="30"/>
      <c r="P73" s="30"/>
      <c r="Q73" s="30"/>
      <c r="R73" s="30"/>
    </row>
    <row r="74" spans="1:18" hidden="1" outlineLevel="4" x14ac:dyDescent="0.3">
      <c r="A74" s="189" t="s">
        <v>80</v>
      </c>
      <c r="B74" s="190">
        <v>2.1428489999999999E-5</v>
      </c>
      <c r="C74" s="190">
        <v>1.8400980000000001E-5</v>
      </c>
      <c r="D74" s="190">
        <v>9.5465000000000003E-4</v>
      </c>
      <c r="E74" s="212">
        <v>0</v>
      </c>
      <c r="F74" s="30"/>
      <c r="G74" s="30"/>
      <c r="H74" s="30"/>
      <c r="I74" s="30"/>
      <c r="J74" s="30"/>
      <c r="K74" s="30"/>
      <c r="L74" s="30"/>
      <c r="M74" s="30"/>
      <c r="N74" s="30"/>
      <c r="O74" s="30"/>
      <c r="P74" s="30"/>
      <c r="Q74" s="30"/>
      <c r="R74" s="30"/>
    </row>
    <row r="75" spans="1:18" ht="14.4" outlineLevel="2" collapsed="1" x14ac:dyDescent="0.3">
      <c r="A75" s="216" t="s">
        <v>22</v>
      </c>
      <c r="B75" s="217">
        <f>B$76+B$83+B$86+B$88+B$90</f>
        <v>4.39947909218</v>
      </c>
      <c r="C75" s="217">
        <f>C$76+C$83+C$86+C$88+C$90</f>
        <v>3.7779005809000004</v>
      </c>
      <c r="D75" s="217">
        <f>D$76+D$83+D$86+D$88+D$90</f>
        <v>195.99899329690004</v>
      </c>
      <c r="E75" s="218">
        <f>E$76+E$83+E$86+E$88+E$90</f>
        <v>2.0410000000000001E-2</v>
      </c>
      <c r="F75" s="30"/>
      <c r="G75" s="30"/>
      <c r="H75" s="30"/>
      <c r="I75" s="30"/>
      <c r="J75" s="30"/>
      <c r="K75" s="30"/>
      <c r="L75" s="30"/>
      <c r="M75" s="30"/>
      <c r="N75" s="30"/>
      <c r="O75" s="30"/>
      <c r="P75" s="30"/>
      <c r="Q75" s="30"/>
      <c r="R75" s="30"/>
    </row>
    <row r="76" spans="1:18" ht="14.4" hidden="1" outlineLevel="3" x14ac:dyDescent="0.3">
      <c r="A76" s="213" t="s">
        <v>23</v>
      </c>
      <c r="B76" s="214">
        <f>SUM(B$77:B$82)</f>
        <v>2.4449649041699999</v>
      </c>
      <c r="C76" s="214">
        <f>SUM(C$77:C$82)</f>
        <v>2.0995290892900003</v>
      </c>
      <c r="D76" s="214">
        <f>SUM(D$77:D$82)</f>
        <v>108.92440896404001</v>
      </c>
      <c r="E76" s="215">
        <f>SUM(E$77:E$82)</f>
        <v>1.1343000000000001E-2</v>
      </c>
      <c r="F76" s="30"/>
      <c r="G76" s="30"/>
      <c r="H76" s="30"/>
      <c r="I76" s="30"/>
      <c r="J76" s="30"/>
      <c r="K76" s="30"/>
      <c r="L76" s="30"/>
      <c r="M76" s="30"/>
      <c r="N76" s="30"/>
      <c r="O76" s="30"/>
      <c r="P76" s="30"/>
      <c r="Q76" s="30"/>
      <c r="R76" s="30"/>
    </row>
    <row r="77" spans="1:18" hidden="1" outlineLevel="4" x14ac:dyDescent="0.3">
      <c r="A77" s="189" t="s">
        <v>81</v>
      </c>
      <c r="B77" s="190">
        <v>0.34935904199000001</v>
      </c>
      <c r="C77" s="190">
        <v>0.3</v>
      </c>
      <c r="D77" s="190">
        <v>15.564120000000001</v>
      </c>
      <c r="E77" s="212">
        <v>1.621E-3</v>
      </c>
      <c r="F77" s="30"/>
      <c r="G77" s="30"/>
      <c r="H77" s="30"/>
      <c r="I77" s="30"/>
      <c r="J77" s="30"/>
      <c r="K77" s="30"/>
      <c r="L77" s="30"/>
      <c r="M77" s="30"/>
      <c r="N77" s="30"/>
      <c r="O77" s="30"/>
      <c r="P77" s="30"/>
      <c r="Q77" s="30"/>
      <c r="R77" s="30"/>
    </row>
    <row r="78" spans="1:18" hidden="1" outlineLevel="4" x14ac:dyDescent="0.3">
      <c r="A78" s="189" t="s">
        <v>26</v>
      </c>
      <c r="B78" s="190">
        <v>1.14285080928</v>
      </c>
      <c r="C78" s="190">
        <v>0.98138362426000003</v>
      </c>
      <c r="D78" s="190">
        <v>50.914574980060003</v>
      </c>
      <c r="E78" s="212">
        <v>5.3020000000000003E-3</v>
      </c>
      <c r="F78" s="30"/>
      <c r="G78" s="30"/>
      <c r="H78" s="30"/>
      <c r="I78" s="30"/>
      <c r="J78" s="30"/>
      <c r="K78" s="30"/>
      <c r="L78" s="30"/>
      <c r="M78" s="30"/>
      <c r="N78" s="30"/>
      <c r="O78" s="30"/>
      <c r="P78" s="30"/>
      <c r="Q78" s="30"/>
      <c r="R78" s="30"/>
    </row>
    <row r="79" spans="1:18" hidden="1" outlineLevel="4" x14ac:dyDescent="0.3">
      <c r="A79" s="189" t="s">
        <v>27</v>
      </c>
      <c r="B79" s="190">
        <v>0.20540277737000001</v>
      </c>
      <c r="C79" s="190">
        <v>0.17638253431000001</v>
      </c>
      <c r="D79" s="190">
        <v>9.15079643302</v>
      </c>
      <c r="E79" s="212">
        <v>9.5299999999999996E-4</v>
      </c>
      <c r="F79" s="30"/>
      <c r="G79" s="30"/>
      <c r="H79" s="30"/>
      <c r="I79" s="30"/>
      <c r="J79" s="30"/>
      <c r="K79" s="30"/>
      <c r="L79" s="30"/>
      <c r="M79" s="30"/>
      <c r="N79" s="30"/>
      <c r="O79" s="30"/>
      <c r="P79" s="30"/>
      <c r="Q79" s="30"/>
      <c r="R79" s="30"/>
    </row>
    <row r="80" spans="1:18" hidden="1" outlineLevel="4" x14ac:dyDescent="0.3">
      <c r="A80" s="189" t="s">
        <v>31</v>
      </c>
      <c r="B80" s="190">
        <v>0.49715442519000003</v>
      </c>
      <c r="C80" s="190">
        <v>0.42691417605999998</v>
      </c>
      <c r="D80" s="190">
        <v>22.14847821943</v>
      </c>
      <c r="E80" s="212">
        <v>2.3059999999999999E-3</v>
      </c>
      <c r="F80" s="30"/>
      <c r="G80" s="30"/>
      <c r="H80" s="30"/>
      <c r="I80" s="30"/>
      <c r="J80" s="30"/>
      <c r="K80" s="30"/>
      <c r="L80" s="30"/>
      <c r="M80" s="30"/>
      <c r="N80" s="30"/>
      <c r="O80" s="30"/>
      <c r="P80" s="30"/>
      <c r="Q80" s="30"/>
      <c r="R80" s="30"/>
    </row>
    <row r="81" spans="1:18" hidden="1" outlineLevel="4" x14ac:dyDescent="0.3">
      <c r="A81" s="189" t="s">
        <v>32</v>
      </c>
      <c r="B81" s="190">
        <v>0.24915951851000001</v>
      </c>
      <c r="C81" s="190">
        <v>0.21395712310000001</v>
      </c>
      <c r="D81" s="190">
        <v>11.100181129339999</v>
      </c>
      <c r="E81" s="212">
        <v>1.1559999999999999E-3</v>
      </c>
      <c r="F81" s="30"/>
      <c r="G81" s="30"/>
      <c r="H81" s="30"/>
      <c r="I81" s="30"/>
      <c r="J81" s="30"/>
      <c r="K81" s="30"/>
      <c r="L81" s="30"/>
      <c r="M81" s="30"/>
      <c r="N81" s="30"/>
      <c r="O81" s="30"/>
      <c r="P81" s="30"/>
      <c r="Q81" s="30"/>
      <c r="R81" s="30"/>
    </row>
    <row r="82" spans="1:18" hidden="1" outlineLevel="4" x14ac:dyDescent="0.3">
      <c r="A82" s="189" t="s">
        <v>33</v>
      </c>
      <c r="B82" s="190">
        <v>1.0383318299999999E-3</v>
      </c>
      <c r="C82" s="190">
        <v>8.9163155999999997E-4</v>
      </c>
      <c r="D82" s="190">
        <v>4.625820219E-2</v>
      </c>
      <c r="E82" s="212">
        <v>5.0000000000000004E-6</v>
      </c>
      <c r="F82" s="30"/>
      <c r="G82" s="30"/>
      <c r="H82" s="30"/>
      <c r="I82" s="30"/>
      <c r="J82" s="30"/>
      <c r="K82" s="30"/>
      <c r="L82" s="30"/>
      <c r="M82" s="30"/>
      <c r="N82" s="30"/>
      <c r="O82" s="30"/>
      <c r="P82" s="30"/>
      <c r="Q82" s="30"/>
      <c r="R82" s="30"/>
    </row>
    <row r="83" spans="1:18" ht="14.4" hidden="1" outlineLevel="3" x14ac:dyDescent="0.3">
      <c r="A83" s="213" t="s">
        <v>82</v>
      </c>
      <c r="B83" s="214">
        <f>SUM(B$84:B$85)</f>
        <v>0.86157590034999998</v>
      </c>
      <c r="C83" s="214">
        <f>SUM(C$84:C$85)</f>
        <v>0.73984851984</v>
      </c>
      <c r="D83" s="214">
        <f>SUM(D$84:D$85)</f>
        <v>38.383637148520002</v>
      </c>
      <c r="E83" s="215">
        <f>SUM(E$84:E$85)</f>
        <v>3.9970000000000006E-3</v>
      </c>
      <c r="F83" s="30"/>
      <c r="G83" s="30"/>
      <c r="H83" s="30"/>
      <c r="I83" s="30"/>
      <c r="J83" s="30"/>
      <c r="K83" s="30"/>
      <c r="L83" s="30"/>
      <c r="M83" s="30"/>
      <c r="N83" s="30"/>
      <c r="O83" s="30"/>
      <c r="P83" s="30"/>
      <c r="Q83" s="30"/>
      <c r="R83" s="30"/>
    </row>
    <row r="84" spans="1:18" hidden="1" outlineLevel="4" x14ac:dyDescent="0.3">
      <c r="A84" s="189" t="s">
        <v>83</v>
      </c>
      <c r="B84" s="190">
        <v>0.82499999999999996</v>
      </c>
      <c r="C84" s="190">
        <v>0.70844022983999999</v>
      </c>
      <c r="D84" s="190">
        <v>36.7541625</v>
      </c>
      <c r="E84" s="212">
        <v>3.8270000000000001E-3</v>
      </c>
      <c r="F84" s="30"/>
      <c r="G84" s="30"/>
      <c r="H84" s="30"/>
      <c r="I84" s="30"/>
      <c r="J84" s="30"/>
      <c r="K84" s="30"/>
      <c r="L84" s="30"/>
      <c r="M84" s="30"/>
      <c r="N84" s="30"/>
      <c r="O84" s="30"/>
      <c r="P84" s="30"/>
      <c r="Q84" s="30"/>
      <c r="R84" s="30"/>
    </row>
    <row r="85" spans="1:18" hidden="1" outlineLevel="4" x14ac:dyDescent="0.3">
      <c r="A85" s="189" t="s">
        <v>39</v>
      </c>
      <c r="B85" s="190">
        <v>3.6575900350000003E-2</v>
      </c>
      <c r="C85" s="190">
        <v>3.1408289999999998E-2</v>
      </c>
      <c r="D85" s="190">
        <v>1.62947464852</v>
      </c>
      <c r="E85" s="212">
        <v>1.7000000000000001E-4</v>
      </c>
      <c r="F85" s="30"/>
      <c r="G85" s="30"/>
      <c r="H85" s="30"/>
      <c r="I85" s="30"/>
      <c r="J85" s="30"/>
      <c r="K85" s="30"/>
      <c r="L85" s="30"/>
      <c r="M85" s="30"/>
      <c r="N85" s="30"/>
      <c r="O85" s="30"/>
      <c r="P85" s="30"/>
      <c r="Q85" s="30"/>
      <c r="R85" s="30"/>
    </row>
    <row r="86" spans="1:18" ht="14.4" hidden="1" outlineLevel="3" x14ac:dyDescent="0.3">
      <c r="A86" s="213" t="s">
        <v>47</v>
      </c>
      <c r="B86" s="214">
        <f>SUM(B$87:B$87)</f>
        <v>0.15645230804999999</v>
      </c>
      <c r="C86" s="214">
        <f>SUM(C$87:C$87)</f>
        <v>0.13434801099999999</v>
      </c>
      <c r="D86" s="214">
        <f>SUM(D$87:D$87)</f>
        <v>6.9700285497800003</v>
      </c>
      <c r="E86" s="215">
        <f>SUM(E$87:E$87)</f>
        <v>7.2599999999999997E-4</v>
      </c>
      <c r="F86" s="30"/>
      <c r="G86" s="30"/>
      <c r="H86" s="30"/>
      <c r="I86" s="30"/>
      <c r="J86" s="30"/>
      <c r="K86" s="30"/>
      <c r="L86" s="30"/>
      <c r="M86" s="30"/>
      <c r="N86" s="30"/>
      <c r="O86" s="30"/>
      <c r="P86" s="30"/>
      <c r="Q86" s="30"/>
      <c r="R86" s="30"/>
    </row>
    <row r="87" spans="1:18" hidden="1" outlineLevel="4" x14ac:dyDescent="0.3">
      <c r="A87" s="189" t="s">
        <v>84</v>
      </c>
      <c r="B87" s="190">
        <v>0.15645230804999999</v>
      </c>
      <c r="C87" s="190">
        <v>0.13434801099999999</v>
      </c>
      <c r="D87" s="190">
        <v>6.9700285497800003</v>
      </c>
      <c r="E87" s="212">
        <v>7.2599999999999997E-4</v>
      </c>
      <c r="F87" s="30"/>
      <c r="G87" s="30"/>
      <c r="H87" s="30"/>
      <c r="I87" s="30"/>
      <c r="J87" s="30"/>
      <c r="K87" s="30"/>
      <c r="L87" s="30"/>
      <c r="M87" s="30"/>
      <c r="N87" s="30"/>
      <c r="O87" s="30"/>
      <c r="P87" s="30"/>
      <c r="Q87" s="30"/>
      <c r="R87" s="30"/>
    </row>
    <row r="88" spans="1:18" ht="14.4" hidden="1" outlineLevel="3" x14ac:dyDescent="0.3">
      <c r="A88" s="213" t="s">
        <v>85</v>
      </c>
      <c r="B88" s="214">
        <f>SUM(B$89:B$89)</f>
        <v>0.82499999999999996</v>
      </c>
      <c r="C88" s="214">
        <f>SUM(C$89:C$89)</f>
        <v>0.70844022983999999</v>
      </c>
      <c r="D88" s="214">
        <f>SUM(D$89:D$89)</f>
        <v>36.7541625</v>
      </c>
      <c r="E88" s="215">
        <f>SUM(E$89:E$89)</f>
        <v>3.8270000000000001E-3</v>
      </c>
      <c r="F88" s="30"/>
      <c r="G88" s="30"/>
      <c r="H88" s="30"/>
      <c r="I88" s="30"/>
      <c r="J88" s="30"/>
      <c r="K88" s="30"/>
      <c r="L88" s="30"/>
      <c r="M88" s="30"/>
      <c r="N88" s="30"/>
      <c r="O88" s="30"/>
      <c r="P88" s="30"/>
      <c r="Q88" s="30"/>
      <c r="R88" s="30"/>
    </row>
    <row r="89" spans="1:18" hidden="1" outlineLevel="4" x14ac:dyDescent="0.3">
      <c r="A89" s="189" t="s">
        <v>87</v>
      </c>
      <c r="B89" s="190">
        <v>0.82499999999999996</v>
      </c>
      <c r="C89" s="190">
        <v>0.70844022983999999</v>
      </c>
      <c r="D89" s="190">
        <v>36.7541625</v>
      </c>
      <c r="E89" s="212">
        <v>3.8270000000000001E-3</v>
      </c>
      <c r="F89" s="30"/>
      <c r="G89" s="30"/>
      <c r="H89" s="30"/>
      <c r="I89" s="30"/>
      <c r="J89" s="30"/>
      <c r="K89" s="30"/>
      <c r="L89" s="30"/>
      <c r="M89" s="30"/>
      <c r="N89" s="30"/>
      <c r="O89" s="30"/>
      <c r="P89" s="30"/>
      <c r="Q89" s="30"/>
      <c r="R89" s="30"/>
    </row>
    <row r="90" spans="1:18" ht="14.4" hidden="1" outlineLevel="3" x14ac:dyDescent="0.3">
      <c r="A90" s="213" t="s">
        <v>65</v>
      </c>
      <c r="B90" s="214">
        <f>SUM(B$91:B$91)</f>
        <v>0.11148597960999999</v>
      </c>
      <c r="C90" s="214">
        <f>SUM(C$91:C$91)</f>
        <v>9.5734730929999998E-2</v>
      </c>
      <c r="D90" s="214">
        <f>SUM(D$91:D$91)</f>
        <v>4.9667561345599998</v>
      </c>
      <c r="E90" s="215">
        <f>SUM(E$91:E$91)</f>
        <v>5.1699999999999999E-4</v>
      </c>
      <c r="F90" s="30"/>
      <c r="G90" s="30"/>
      <c r="H90" s="30"/>
      <c r="I90" s="30"/>
      <c r="J90" s="30"/>
      <c r="K90" s="30"/>
      <c r="L90" s="30"/>
      <c r="M90" s="30"/>
      <c r="N90" s="30"/>
      <c r="O90" s="30"/>
      <c r="P90" s="30"/>
      <c r="Q90" s="30"/>
      <c r="R90" s="30"/>
    </row>
    <row r="91" spans="1:18" hidden="1" outlineLevel="4" x14ac:dyDescent="0.3">
      <c r="A91" s="189" t="s">
        <v>32</v>
      </c>
      <c r="B91" s="190">
        <v>0.11148597960999999</v>
      </c>
      <c r="C91" s="190">
        <v>9.5734730929999998E-2</v>
      </c>
      <c r="D91" s="190">
        <v>4.9667561345599998</v>
      </c>
      <c r="E91" s="212">
        <v>5.1699999999999999E-4</v>
      </c>
      <c r="F91" s="30"/>
      <c r="G91" s="30"/>
      <c r="H91" s="30"/>
      <c r="I91" s="30"/>
      <c r="J91" s="30"/>
      <c r="K91" s="30"/>
      <c r="L91" s="30"/>
      <c r="M91" s="30"/>
      <c r="N91" s="30"/>
      <c r="O91" s="30"/>
      <c r="P91" s="30"/>
      <c r="Q91" s="30"/>
      <c r="R91" s="30"/>
    </row>
    <row r="92" spans="1:18" ht="40.049999999999997" customHeight="1" x14ac:dyDescent="0.3">
      <c r="A92" s="298" t="s">
        <v>158</v>
      </c>
      <c r="B92" s="299"/>
      <c r="C92" s="299"/>
      <c r="D92" s="299"/>
      <c r="E92" s="299"/>
      <c r="F92" s="30"/>
      <c r="G92" s="30"/>
      <c r="H92" s="30"/>
      <c r="I92" s="30"/>
      <c r="J92" s="30"/>
      <c r="K92" s="30"/>
      <c r="L92" s="30"/>
      <c r="M92" s="30"/>
      <c r="N92" s="30"/>
      <c r="O92" s="30"/>
      <c r="P92" s="30"/>
      <c r="Q92" s="30"/>
      <c r="R92" s="30"/>
    </row>
    <row r="93" spans="1:18" x14ac:dyDescent="0.3">
      <c r="B93" s="29"/>
      <c r="C93" s="29"/>
      <c r="D93" s="29"/>
      <c r="E93" s="67"/>
      <c r="F93" s="30"/>
      <c r="G93" s="30"/>
      <c r="H93" s="30"/>
      <c r="I93" s="30"/>
      <c r="J93" s="30"/>
      <c r="K93" s="30"/>
      <c r="L93" s="30"/>
      <c r="M93" s="30"/>
      <c r="N93" s="30"/>
      <c r="O93" s="30"/>
      <c r="P93" s="30"/>
      <c r="Q93" s="30"/>
      <c r="R93" s="30"/>
    </row>
    <row r="94" spans="1:18" x14ac:dyDescent="0.3">
      <c r="B94" s="29"/>
      <c r="C94" s="29"/>
      <c r="D94" s="29"/>
      <c r="E94" s="67"/>
      <c r="F94" s="30"/>
      <c r="G94" s="30"/>
      <c r="H94" s="30"/>
      <c r="I94" s="30"/>
      <c r="J94" s="30"/>
      <c r="K94" s="30"/>
      <c r="L94" s="30"/>
      <c r="M94" s="30"/>
      <c r="N94" s="30"/>
      <c r="O94" s="30"/>
      <c r="P94" s="30"/>
      <c r="Q94" s="30"/>
      <c r="R94" s="30"/>
    </row>
    <row r="95" spans="1:18" x14ac:dyDescent="0.3">
      <c r="B95" s="29"/>
      <c r="C95" s="29"/>
      <c r="D95" s="29"/>
      <c r="E95" s="67"/>
      <c r="F95" s="30"/>
      <c r="G95" s="30"/>
      <c r="H95" s="30"/>
      <c r="I95" s="30"/>
      <c r="J95" s="30"/>
      <c r="K95" s="30"/>
      <c r="L95" s="30"/>
      <c r="M95" s="30"/>
      <c r="N95" s="30"/>
      <c r="O95" s="30"/>
      <c r="P95" s="30"/>
      <c r="Q95" s="30"/>
      <c r="R95" s="30"/>
    </row>
    <row r="96" spans="1: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sheetData>
  <mergeCells count="3">
    <mergeCell ref="A2:E2"/>
    <mergeCell ref="A3:E3"/>
    <mergeCell ref="A92:E92"/>
  </mergeCells>
  <phoneticPr fontId="4" type="noConversion"/>
  <printOptions horizontalCentered="1" verticalCentered="1"/>
  <pageMargins left="0.78740157480314998" right="0.78740157480314998" top="0.98425196850393704" bottom="0.98425196850393704" header="0.511811023622047" footer="0.511811023622047"/>
  <pageSetup paperSize="9" scale="9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13">
    <tabColor indexed="12"/>
    <outlinePr applyStyles="1" summaryBelow="0"/>
    <pageSetUpPr fitToPage="1"/>
  </sheetPr>
  <dimension ref="A2:T176"/>
  <sheetViews>
    <sheetView workbookViewId="0">
      <selection activeCell="A106" sqref="A106"/>
    </sheetView>
  </sheetViews>
  <sheetFormatPr defaultColWidth="9.109375" defaultRowHeight="13.8" outlineLevelRow="4"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18" x14ac:dyDescent="0.35">
      <c r="A2" s="4" t="str">
        <f>IF(REPORT_LANG="UKR","Державний та гарантований державою борг України за станом на ","State debt and State guaranteed debt  of Ukraine as of ") &amp; STRPRESENTDATE</f>
        <v>Державний та гарантований державою борг України за станом на 31.08.2026</v>
      </c>
      <c r="B2" s="3"/>
      <c r="C2" s="3"/>
      <c r="D2" s="3"/>
      <c r="E2" s="3"/>
      <c r="F2" s="30"/>
      <c r="G2" s="30"/>
      <c r="H2" s="30"/>
      <c r="I2" s="30"/>
      <c r="J2" s="30"/>
      <c r="K2" s="30"/>
      <c r="L2" s="30"/>
      <c r="M2" s="30"/>
      <c r="N2" s="30"/>
      <c r="O2" s="30"/>
      <c r="P2" s="30"/>
      <c r="Q2" s="30"/>
      <c r="R2" s="30"/>
      <c r="S2" s="30"/>
      <c r="T2" s="30"/>
    </row>
    <row r="3" spans="1:20" ht="18" x14ac:dyDescent="0.35">
      <c r="A3" s="1" t="str">
        <f>IF(REPORT_LANG="UKR","(за типом кредитора)","by borrowing market (creditors)")</f>
        <v>(за типом кредитора)</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млрд. одиниць</v>
      </c>
    </row>
    <row r="6" spans="1:20" s="18" customFormat="1" x14ac:dyDescent="0.25">
      <c r="A6" s="16"/>
      <c r="B6" s="156" t="str">
        <f>USD</f>
        <v>дол. США</v>
      </c>
      <c r="C6" s="156" t="str">
        <f>EUR</f>
        <v>євро</v>
      </c>
      <c r="D6" s="156" t="str">
        <f>UAH</f>
        <v>грн.</v>
      </c>
      <c r="E6" s="73" t="s">
        <v>0</v>
      </c>
    </row>
    <row r="7" spans="1:20" s="19" customFormat="1" ht="15.6" x14ac:dyDescent="0.25">
      <c r="A7" s="158" t="str">
        <f>DEBT_TOTAL</f>
        <v>Загальна сума державного та гарантованого державою боргу</v>
      </c>
      <c r="B7" s="134">
        <f>B$35+B$8</f>
        <v>215.55073598985001</v>
      </c>
      <c r="C7" s="134">
        <f>C$35+C$8</f>
        <v>185.09674296469998</v>
      </c>
      <c r="D7" s="134">
        <f>D$35+D$8</f>
        <v>9602.8930637009707</v>
      </c>
      <c r="E7" s="135">
        <f>E$35+E$8</f>
        <v>1</v>
      </c>
    </row>
    <row r="8" spans="1:20" s="20" customFormat="1" ht="14.4" outlineLevel="1" x14ac:dyDescent="0.25">
      <c r="A8" s="204" t="s">
        <v>3</v>
      </c>
      <c r="B8" s="205">
        <f>B$9+B$24</f>
        <v>46.355899884370004</v>
      </c>
      <c r="C8" s="205">
        <f>C$9+C$24</f>
        <v>39.806526506900006</v>
      </c>
      <c r="D8" s="205">
        <f>D$9+D$24</f>
        <v>2065.1785177859097</v>
      </c>
      <c r="E8" s="206">
        <f>E$9+E$24</f>
        <v>0.215058</v>
      </c>
    </row>
    <row r="9" spans="1:20" s="21" customFormat="1" ht="14.4" outlineLevel="2" collapsed="1" x14ac:dyDescent="0.25">
      <c r="A9" s="109" t="s">
        <v>1</v>
      </c>
      <c r="B9" s="110">
        <f>B$10+B$22</f>
        <v>44.968409390170002</v>
      </c>
      <c r="C9" s="110">
        <f>C$10+C$22</f>
        <v>38.615067010400004</v>
      </c>
      <c r="D9" s="110">
        <f>D$10+D$22</f>
        <v>2003.3651225245599</v>
      </c>
      <c r="E9" s="111">
        <f>E$10+E$22</f>
        <v>0.208621</v>
      </c>
    </row>
    <row r="10" spans="1:20" s="22" customFormat="1" ht="14.4" hidden="1" outlineLevel="3" x14ac:dyDescent="0.25">
      <c r="A10" s="222" t="s">
        <v>4</v>
      </c>
      <c r="B10" s="223">
        <f>SUM(B$11:B$21)</f>
        <v>44.940207709740001</v>
      </c>
      <c r="C10" s="223">
        <f>SUM(C$11:C$21)</f>
        <v>38.590849792260002</v>
      </c>
      <c r="D10" s="223">
        <f>SUM(D$11:D$21)</f>
        <v>2002.1087235604998</v>
      </c>
      <c r="E10" s="224">
        <f>SUM(E$11:E$21)</f>
        <v>0.20849000000000001</v>
      </c>
    </row>
    <row r="11" spans="1:20" hidden="1" outlineLevel="4" x14ac:dyDescent="0.3">
      <c r="A11" s="210" t="s">
        <v>7</v>
      </c>
      <c r="B11" s="211">
        <v>9.5397358060000007E-2</v>
      </c>
      <c r="C11" s="211">
        <v>8.1919183359999995E-2</v>
      </c>
      <c r="D11" s="211">
        <v>4.25</v>
      </c>
      <c r="E11" s="112">
        <v>4.4299999999999998E-4</v>
      </c>
      <c r="F11" s="30"/>
      <c r="G11" s="30"/>
      <c r="H11" s="30"/>
      <c r="I11" s="30"/>
      <c r="J11" s="30"/>
      <c r="K11" s="30"/>
      <c r="L11" s="30"/>
      <c r="M11" s="30"/>
      <c r="N11" s="30"/>
      <c r="O11" s="30"/>
      <c r="P11" s="30"/>
      <c r="Q11" s="30"/>
      <c r="R11" s="30"/>
    </row>
    <row r="12" spans="1:20" hidden="1" outlineLevel="4" x14ac:dyDescent="0.3">
      <c r="A12" s="189" t="s">
        <v>8</v>
      </c>
      <c r="B12" s="190">
        <v>0.34118584528000001</v>
      </c>
      <c r="C12" s="190">
        <v>0.29298154987000002</v>
      </c>
      <c r="D12" s="190">
        <v>15.2</v>
      </c>
      <c r="E12" s="212">
        <v>1.583E-3</v>
      </c>
      <c r="F12" s="30"/>
      <c r="G12" s="30"/>
      <c r="H12" s="30"/>
      <c r="I12" s="30"/>
      <c r="J12" s="30"/>
      <c r="K12" s="30"/>
      <c r="L12" s="30"/>
      <c r="M12" s="30"/>
      <c r="N12" s="30"/>
      <c r="O12" s="30"/>
      <c r="P12" s="30"/>
      <c r="Q12" s="30"/>
      <c r="R12" s="30"/>
    </row>
    <row r="13" spans="1:20" hidden="1" outlineLevel="4" x14ac:dyDescent="0.3">
      <c r="A13" s="189" t="s">
        <v>9</v>
      </c>
      <c r="B13" s="190">
        <v>2.40044439463</v>
      </c>
      <c r="C13" s="190">
        <v>2.0612986407</v>
      </c>
      <c r="D13" s="190">
        <v>106.94099799999999</v>
      </c>
      <c r="E13" s="212">
        <v>1.1136E-2</v>
      </c>
      <c r="F13" s="30"/>
      <c r="G13" s="30"/>
      <c r="H13" s="30"/>
      <c r="I13" s="30"/>
      <c r="J13" s="30"/>
      <c r="K13" s="30"/>
      <c r="L13" s="30"/>
      <c r="M13" s="30"/>
      <c r="N13" s="30"/>
      <c r="O13" s="30"/>
      <c r="P13" s="30"/>
      <c r="Q13" s="30"/>
      <c r="R13" s="30"/>
    </row>
    <row r="14" spans="1:20" hidden="1" outlineLevel="4" x14ac:dyDescent="0.3">
      <c r="A14" s="189" t="s">
        <v>10</v>
      </c>
      <c r="B14" s="190">
        <v>6.4032257325000002</v>
      </c>
      <c r="C14" s="190">
        <v>5.4985487388600003</v>
      </c>
      <c r="D14" s="190">
        <v>285.266908</v>
      </c>
      <c r="E14" s="212">
        <v>2.9706E-2</v>
      </c>
      <c r="F14" s="30"/>
      <c r="G14" s="30"/>
      <c r="H14" s="30"/>
      <c r="I14" s="30"/>
      <c r="J14" s="30"/>
      <c r="K14" s="30"/>
      <c r="L14" s="30"/>
      <c r="M14" s="30"/>
      <c r="N14" s="30"/>
      <c r="O14" s="30"/>
      <c r="P14" s="30"/>
      <c r="Q14" s="30"/>
      <c r="R14" s="30"/>
    </row>
    <row r="15" spans="1:20" hidden="1" outlineLevel="4" x14ac:dyDescent="0.3">
      <c r="A15" s="189" t="s">
        <v>13</v>
      </c>
      <c r="B15" s="190">
        <v>0.24051168898</v>
      </c>
      <c r="C15" s="190">
        <v>0.20653109845000001</v>
      </c>
      <c r="D15" s="190">
        <v>10.714916000000001</v>
      </c>
      <c r="E15" s="212">
        <v>1.116E-3</v>
      </c>
      <c r="F15" s="30"/>
      <c r="G15" s="30"/>
      <c r="H15" s="30"/>
      <c r="I15" s="30"/>
      <c r="J15" s="30"/>
      <c r="K15" s="30"/>
      <c r="L15" s="30"/>
      <c r="M15" s="30"/>
      <c r="N15" s="30"/>
      <c r="O15" s="30"/>
      <c r="P15" s="30"/>
      <c r="Q15" s="30"/>
      <c r="R15" s="30"/>
    </row>
    <row r="16" spans="1:20" hidden="1" outlineLevel="4" x14ac:dyDescent="0.3">
      <c r="A16" s="189" t="s">
        <v>14</v>
      </c>
      <c r="B16" s="190">
        <v>0.63337387905999998</v>
      </c>
      <c r="C16" s="190">
        <v>0.54388792298999999</v>
      </c>
      <c r="D16" s="190">
        <v>28.217123000000001</v>
      </c>
      <c r="E16" s="212">
        <v>2.9380000000000001E-3</v>
      </c>
      <c r="F16" s="30"/>
      <c r="G16" s="30"/>
      <c r="H16" s="30"/>
      <c r="I16" s="30"/>
      <c r="J16" s="30"/>
      <c r="K16" s="30"/>
      <c r="L16" s="30"/>
      <c r="M16" s="30"/>
      <c r="N16" s="30"/>
      <c r="O16" s="30"/>
      <c r="P16" s="30"/>
      <c r="Q16" s="30"/>
      <c r="R16" s="30"/>
    </row>
    <row r="17" spans="1:18" hidden="1" outlineLevel="4" x14ac:dyDescent="0.3">
      <c r="A17" s="189" t="s">
        <v>15</v>
      </c>
      <c r="B17" s="190">
        <v>9.6522587176600005</v>
      </c>
      <c r="C17" s="190">
        <v>8.28854349621</v>
      </c>
      <c r="D17" s="190">
        <v>430.01295199999998</v>
      </c>
      <c r="E17" s="212">
        <v>4.478E-2</v>
      </c>
      <c r="F17" s="30"/>
      <c r="G17" s="30"/>
      <c r="H17" s="30"/>
      <c r="I17" s="30"/>
      <c r="J17" s="30"/>
      <c r="K17" s="30"/>
      <c r="L17" s="30"/>
      <c r="M17" s="30"/>
      <c r="N17" s="30"/>
      <c r="O17" s="30"/>
      <c r="P17" s="30"/>
      <c r="Q17" s="30"/>
      <c r="R17" s="30"/>
    </row>
    <row r="18" spans="1:18" hidden="1" outlineLevel="4" x14ac:dyDescent="0.3">
      <c r="A18" s="189" t="s">
        <v>16</v>
      </c>
      <c r="B18" s="190">
        <v>0.92890681364000005</v>
      </c>
      <c r="C18" s="190">
        <v>0.79766661400000005</v>
      </c>
      <c r="D18" s="190">
        <v>41.383262999999999</v>
      </c>
      <c r="E18" s="212">
        <v>4.3090000000000003E-3</v>
      </c>
      <c r="F18" s="30"/>
      <c r="G18" s="30"/>
      <c r="H18" s="30"/>
      <c r="I18" s="30"/>
      <c r="J18" s="30"/>
      <c r="K18" s="30"/>
      <c r="L18" s="30"/>
      <c r="M18" s="30"/>
      <c r="N18" s="30"/>
      <c r="O18" s="30"/>
      <c r="P18" s="30"/>
      <c r="Q18" s="30"/>
      <c r="R18" s="30"/>
    </row>
    <row r="19" spans="1:18" hidden="1" outlineLevel="4" x14ac:dyDescent="0.3">
      <c r="A19" s="189" t="s">
        <v>17</v>
      </c>
      <c r="B19" s="190">
        <v>5.7062648007699996</v>
      </c>
      <c r="C19" s="190">
        <v>4.9000576326600003</v>
      </c>
      <c r="D19" s="190">
        <v>254.21695</v>
      </c>
      <c r="E19" s="212">
        <v>2.6473E-2</v>
      </c>
      <c r="F19" s="30"/>
      <c r="G19" s="30"/>
      <c r="H19" s="30"/>
      <c r="I19" s="30"/>
      <c r="J19" s="30"/>
      <c r="K19" s="30"/>
      <c r="L19" s="30"/>
      <c r="M19" s="30"/>
      <c r="N19" s="30"/>
      <c r="O19" s="30"/>
      <c r="P19" s="30"/>
      <c r="Q19" s="30"/>
      <c r="R19" s="30"/>
    </row>
    <row r="20" spans="1:18" hidden="1" outlineLevel="4" x14ac:dyDescent="0.3">
      <c r="A20" s="189" t="s">
        <v>18</v>
      </c>
      <c r="B20" s="190">
        <v>11.065806619530001</v>
      </c>
      <c r="C20" s="190">
        <v>9.5023788907599993</v>
      </c>
      <c r="D20" s="190">
        <v>492.98721780170001</v>
      </c>
      <c r="E20" s="212">
        <v>5.1337000000000001E-2</v>
      </c>
      <c r="F20" s="30"/>
      <c r="G20" s="30"/>
      <c r="H20" s="30"/>
      <c r="I20" s="30"/>
      <c r="J20" s="30"/>
      <c r="K20" s="30"/>
      <c r="L20" s="30"/>
      <c r="M20" s="30"/>
      <c r="N20" s="30"/>
      <c r="O20" s="30"/>
      <c r="P20" s="30"/>
      <c r="Q20" s="30"/>
      <c r="R20" s="30"/>
    </row>
    <row r="21" spans="1:18" hidden="1" outlineLevel="4" x14ac:dyDescent="0.3">
      <c r="A21" s="189" t="s">
        <v>19</v>
      </c>
      <c r="B21" s="190">
        <v>7.4728318596300003</v>
      </c>
      <c r="C21" s="190">
        <v>6.4170360243999998</v>
      </c>
      <c r="D21" s="190">
        <v>332.91839575879999</v>
      </c>
      <c r="E21" s="212">
        <v>3.4668999999999998E-2</v>
      </c>
      <c r="F21" s="30"/>
      <c r="G21" s="30"/>
      <c r="H21" s="30"/>
      <c r="I21" s="30"/>
      <c r="J21" s="30"/>
      <c r="K21" s="30"/>
      <c r="L21" s="30"/>
      <c r="M21" s="30"/>
      <c r="N21" s="30"/>
      <c r="O21" s="30"/>
      <c r="P21" s="30"/>
      <c r="Q21" s="30"/>
      <c r="R21" s="30"/>
    </row>
    <row r="22" spans="1:18" ht="14.4" hidden="1" outlineLevel="3" x14ac:dyDescent="0.3">
      <c r="A22" s="225" t="s">
        <v>20</v>
      </c>
      <c r="B22" s="226">
        <f>SUM(B$23:B$23)</f>
        <v>2.8201680430000001E-2</v>
      </c>
      <c r="C22" s="226">
        <f>SUM(C$23:C$23)</f>
        <v>2.421721814E-2</v>
      </c>
      <c r="D22" s="226">
        <f>SUM(D$23:D$23)</f>
        <v>1.25639896406</v>
      </c>
      <c r="E22" s="227">
        <f>SUM(E$23:E$23)</f>
        <v>1.3100000000000001E-4</v>
      </c>
      <c r="F22" s="30"/>
      <c r="G22" s="30"/>
      <c r="H22" s="30"/>
      <c r="I22" s="30"/>
      <c r="J22" s="30"/>
      <c r="K22" s="30"/>
      <c r="L22" s="30"/>
      <c r="M22" s="30"/>
      <c r="N22" s="30"/>
      <c r="O22" s="30"/>
      <c r="P22" s="30"/>
      <c r="Q22" s="30"/>
      <c r="R22" s="30"/>
    </row>
    <row r="23" spans="1:18" hidden="1" outlineLevel="4" x14ac:dyDescent="0.3">
      <c r="A23" s="189" t="s">
        <v>21</v>
      </c>
      <c r="B23" s="190">
        <v>2.8201680430000001E-2</v>
      </c>
      <c r="C23" s="190">
        <v>2.421721814E-2</v>
      </c>
      <c r="D23" s="190">
        <v>1.25639896406</v>
      </c>
      <c r="E23" s="212">
        <v>1.3100000000000001E-4</v>
      </c>
      <c r="F23" s="30"/>
      <c r="G23" s="30"/>
      <c r="H23" s="30"/>
      <c r="I23" s="30"/>
      <c r="J23" s="30"/>
      <c r="K23" s="30"/>
      <c r="L23" s="30"/>
      <c r="M23" s="30"/>
      <c r="N23" s="30"/>
      <c r="O23" s="30"/>
      <c r="P23" s="30"/>
      <c r="Q23" s="30"/>
      <c r="R23" s="30"/>
    </row>
    <row r="24" spans="1:18" ht="14.4" outlineLevel="2" collapsed="1" x14ac:dyDescent="0.3">
      <c r="A24" s="216" t="s">
        <v>2</v>
      </c>
      <c r="B24" s="217">
        <f>B$25+B$28+B$33</f>
        <v>1.3874904941999999</v>
      </c>
      <c r="C24" s="217">
        <f>C$25+C$28+C$33</f>
        <v>1.1914594964999998</v>
      </c>
      <c r="D24" s="217">
        <f>D$25+D$28+D$33</f>
        <v>61.813395261350003</v>
      </c>
      <c r="E24" s="218">
        <f>E$25+E$28+E$33</f>
        <v>6.437E-3</v>
      </c>
      <c r="F24" s="30"/>
      <c r="G24" s="30"/>
      <c r="H24" s="30"/>
      <c r="I24" s="30"/>
      <c r="J24" s="30"/>
      <c r="K24" s="30"/>
      <c r="L24" s="30"/>
      <c r="M24" s="30"/>
      <c r="N24" s="30"/>
      <c r="O24" s="30"/>
      <c r="P24" s="30"/>
      <c r="Q24" s="30"/>
      <c r="R24" s="30"/>
    </row>
    <row r="25" spans="1:18" ht="14.4" hidden="1" outlineLevel="3" x14ac:dyDescent="0.3">
      <c r="A25" s="225" t="s">
        <v>4</v>
      </c>
      <c r="B25" s="226">
        <f>SUM(B$26:B$27)</f>
        <v>5.5555192419999996E-2</v>
      </c>
      <c r="C25" s="226">
        <f>SUM(C$26:C$27)</f>
        <v>4.7706100950000004E-2</v>
      </c>
      <c r="D25" s="226">
        <f>SUM(D$26:D$27)</f>
        <v>2.4750116000000002</v>
      </c>
      <c r="E25" s="227">
        <f>SUM(E$26:E$27)</f>
        <v>2.5799999999999998E-4</v>
      </c>
      <c r="F25" s="30"/>
      <c r="G25" s="30"/>
      <c r="H25" s="30"/>
      <c r="I25" s="30"/>
      <c r="J25" s="30"/>
      <c r="K25" s="30"/>
      <c r="L25" s="30"/>
      <c r="M25" s="30"/>
      <c r="N25" s="30"/>
      <c r="O25" s="30"/>
      <c r="P25" s="30"/>
      <c r="Q25" s="30"/>
      <c r="R25" s="30"/>
    </row>
    <row r="26" spans="1:18" hidden="1" outlineLevel="4" x14ac:dyDescent="0.3">
      <c r="A26" s="189" t="s">
        <v>66</v>
      </c>
      <c r="B26" s="190">
        <v>2.6038000000000001E-7</v>
      </c>
      <c r="C26" s="190">
        <v>2.2359000000000001E-7</v>
      </c>
      <c r="D26" s="190">
        <v>1.1600000000000001E-5</v>
      </c>
      <c r="E26" s="212">
        <v>0</v>
      </c>
      <c r="F26" s="30"/>
      <c r="G26" s="30"/>
      <c r="H26" s="30"/>
      <c r="I26" s="30"/>
      <c r="J26" s="30"/>
      <c r="K26" s="30"/>
      <c r="L26" s="30"/>
      <c r="M26" s="30"/>
      <c r="N26" s="30"/>
      <c r="O26" s="30"/>
      <c r="P26" s="30"/>
      <c r="Q26" s="30"/>
      <c r="R26" s="30"/>
    </row>
    <row r="27" spans="1:18" hidden="1" outlineLevel="4" x14ac:dyDescent="0.3">
      <c r="A27" s="189" t="s">
        <v>67</v>
      </c>
      <c r="B27" s="190">
        <v>5.5554932039999998E-2</v>
      </c>
      <c r="C27" s="190">
        <v>4.7705877360000003E-2</v>
      </c>
      <c r="D27" s="190">
        <v>2.4750000000000001</v>
      </c>
      <c r="E27" s="212">
        <v>2.5799999999999998E-4</v>
      </c>
      <c r="F27" s="30"/>
      <c r="G27" s="30"/>
      <c r="H27" s="30"/>
      <c r="I27" s="30"/>
      <c r="J27" s="30"/>
      <c r="K27" s="30"/>
      <c r="L27" s="30"/>
      <c r="M27" s="30"/>
      <c r="N27" s="30"/>
      <c r="O27" s="30"/>
      <c r="P27" s="30"/>
      <c r="Q27" s="30"/>
      <c r="R27" s="30"/>
    </row>
    <row r="28" spans="1:18" ht="14.4" hidden="1" outlineLevel="3" x14ac:dyDescent="0.3">
      <c r="A28" s="225" t="s">
        <v>20</v>
      </c>
      <c r="B28" s="226">
        <f>SUM(B$29:B$32)</f>
        <v>1.33191387329</v>
      </c>
      <c r="C28" s="226">
        <f>SUM(C$29:C$32)</f>
        <v>1.1437349945699999</v>
      </c>
      <c r="D28" s="226">
        <f>SUM(D$29:D$32)</f>
        <v>59.337429011350004</v>
      </c>
      <c r="E28" s="227">
        <f>SUM(E$29:E$32)</f>
        <v>6.1790000000000005E-3</v>
      </c>
      <c r="F28" s="30"/>
      <c r="G28" s="30"/>
      <c r="H28" s="30"/>
      <c r="I28" s="30"/>
      <c r="J28" s="30"/>
      <c r="K28" s="30"/>
      <c r="L28" s="30"/>
      <c r="M28" s="30"/>
      <c r="N28" s="30"/>
      <c r="O28" s="30"/>
      <c r="P28" s="30"/>
      <c r="Q28" s="30"/>
      <c r="R28" s="30"/>
    </row>
    <row r="29" spans="1:18" hidden="1" outlineLevel="4" x14ac:dyDescent="0.3">
      <c r="A29" s="189" t="s">
        <v>72</v>
      </c>
      <c r="B29" s="190">
        <v>3.101228415E-2</v>
      </c>
      <c r="C29" s="190">
        <v>2.6630726939999998E-2</v>
      </c>
      <c r="D29" s="190">
        <v>1.3816127654599999</v>
      </c>
      <c r="E29" s="212">
        <v>1.44E-4</v>
      </c>
      <c r="F29" s="30"/>
      <c r="G29" s="30"/>
      <c r="H29" s="30"/>
      <c r="I29" s="30"/>
      <c r="J29" s="30"/>
      <c r="K29" s="30"/>
      <c r="L29" s="30"/>
      <c r="M29" s="30"/>
      <c r="N29" s="30"/>
      <c r="O29" s="30"/>
      <c r="P29" s="30"/>
      <c r="Q29" s="30"/>
      <c r="R29" s="30"/>
    </row>
    <row r="30" spans="1:18" hidden="1" outlineLevel="4" x14ac:dyDescent="0.3">
      <c r="A30" s="189" t="s">
        <v>74</v>
      </c>
      <c r="B30" s="190">
        <v>0.1731396395</v>
      </c>
      <c r="C30" s="190">
        <v>0.14867767999000001</v>
      </c>
      <c r="D30" s="190">
        <v>7.7134575091700004</v>
      </c>
      <c r="E30" s="212">
        <v>8.03E-4</v>
      </c>
      <c r="F30" s="30"/>
      <c r="G30" s="30"/>
      <c r="H30" s="30"/>
      <c r="I30" s="30"/>
      <c r="J30" s="30"/>
      <c r="K30" s="30"/>
      <c r="L30" s="30"/>
      <c r="M30" s="30"/>
      <c r="N30" s="30"/>
      <c r="O30" s="30"/>
      <c r="P30" s="30"/>
      <c r="Q30" s="30"/>
      <c r="R30" s="30"/>
    </row>
    <row r="31" spans="1:18" hidden="1" outlineLevel="4" x14ac:dyDescent="0.3">
      <c r="A31" s="189" t="s">
        <v>75</v>
      </c>
      <c r="B31" s="190">
        <v>0.30448624317</v>
      </c>
      <c r="C31" s="190">
        <v>0.26146703526999998</v>
      </c>
      <c r="D31" s="190">
        <v>13.56501437673</v>
      </c>
      <c r="E31" s="212">
        <v>1.413E-3</v>
      </c>
      <c r="F31" s="30"/>
      <c r="G31" s="30"/>
      <c r="H31" s="30"/>
      <c r="I31" s="30"/>
      <c r="J31" s="30"/>
      <c r="K31" s="30"/>
      <c r="L31" s="30"/>
      <c r="M31" s="30"/>
      <c r="N31" s="30"/>
      <c r="O31" s="30"/>
      <c r="P31" s="30"/>
      <c r="Q31" s="30"/>
      <c r="R31" s="30"/>
    </row>
    <row r="32" spans="1:18" hidden="1" outlineLevel="4" x14ac:dyDescent="0.3">
      <c r="A32" s="189" t="s">
        <v>78</v>
      </c>
      <c r="B32" s="190">
        <v>0.82327570647000003</v>
      </c>
      <c r="C32" s="190">
        <v>0.70695955236999997</v>
      </c>
      <c r="D32" s="190">
        <v>36.677344359990002</v>
      </c>
      <c r="E32" s="212">
        <v>3.8189999999999999E-3</v>
      </c>
      <c r="F32" s="30"/>
      <c r="G32" s="30"/>
      <c r="H32" s="30"/>
      <c r="I32" s="30"/>
      <c r="J32" s="30"/>
      <c r="K32" s="30"/>
      <c r="L32" s="30"/>
      <c r="M32" s="30"/>
      <c r="N32" s="30"/>
      <c r="O32" s="30"/>
      <c r="P32" s="30"/>
      <c r="Q32" s="30"/>
      <c r="R32" s="30"/>
    </row>
    <row r="33" spans="1:18" ht="14.4" hidden="1" outlineLevel="3" x14ac:dyDescent="0.3">
      <c r="A33" s="225" t="s">
        <v>79</v>
      </c>
      <c r="B33" s="226">
        <f>SUM(B$34:B$34)</f>
        <v>2.1428489999999999E-5</v>
      </c>
      <c r="C33" s="226">
        <f>SUM(C$34:C$34)</f>
        <v>1.8400980000000001E-5</v>
      </c>
      <c r="D33" s="226">
        <f>SUM(D$34:D$34)</f>
        <v>9.5465000000000003E-4</v>
      </c>
      <c r="E33" s="227">
        <f>SUM(E$34:E$34)</f>
        <v>0</v>
      </c>
      <c r="F33" s="30"/>
      <c r="G33" s="30"/>
      <c r="H33" s="30"/>
      <c r="I33" s="30"/>
      <c r="J33" s="30"/>
      <c r="K33" s="30"/>
      <c r="L33" s="30"/>
      <c r="M33" s="30"/>
      <c r="N33" s="30"/>
      <c r="O33" s="30"/>
      <c r="P33" s="30"/>
      <c r="Q33" s="30"/>
      <c r="R33" s="30"/>
    </row>
    <row r="34" spans="1:18" hidden="1" outlineLevel="4" x14ac:dyDescent="0.3">
      <c r="A34" s="189" t="s">
        <v>80</v>
      </c>
      <c r="B34" s="190">
        <v>2.1428489999999999E-5</v>
      </c>
      <c r="C34" s="190">
        <v>1.8400980000000001E-5</v>
      </c>
      <c r="D34" s="190">
        <v>9.5465000000000003E-4</v>
      </c>
      <c r="E34" s="212">
        <v>0</v>
      </c>
      <c r="F34" s="30"/>
      <c r="G34" s="30"/>
      <c r="H34" s="30"/>
      <c r="I34" s="30"/>
      <c r="J34" s="30"/>
      <c r="K34" s="30"/>
      <c r="L34" s="30"/>
      <c r="M34" s="30"/>
      <c r="N34" s="30"/>
      <c r="O34" s="30"/>
      <c r="P34" s="30"/>
      <c r="Q34" s="30"/>
      <c r="R34" s="30"/>
    </row>
    <row r="35" spans="1:18" ht="14.4" outlineLevel="1" x14ac:dyDescent="0.3">
      <c r="A35" s="219" t="s">
        <v>22</v>
      </c>
      <c r="B35" s="220">
        <f>B$36+B$75</f>
        <v>169.19483610548002</v>
      </c>
      <c r="C35" s="220">
        <f>C$36+C$75</f>
        <v>145.29021645779997</v>
      </c>
      <c r="D35" s="220">
        <f>D$36+D$75</f>
        <v>7537.7145459150606</v>
      </c>
      <c r="E35" s="221">
        <f>E$36+E$75</f>
        <v>0.78494200000000003</v>
      </c>
      <c r="F35" s="30"/>
      <c r="G35" s="30"/>
      <c r="H35" s="30"/>
      <c r="I35" s="30"/>
      <c r="J35" s="30"/>
      <c r="K35" s="30"/>
      <c r="L35" s="30"/>
      <c r="M35" s="30"/>
      <c r="N35" s="30"/>
      <c r="O35" s="30"/>
      <c r="P35" s="30"/>
      <c r="Q35" s="30"/>
      <c r="R35" s="30"/>
    </row>
    <row r="36" spans="1:18" ht="14.4" outlineLevel="2" collapsed="1" x14ac:dyDescent="0.3">
      <c r="A36" s="216" t="s">
        <v>1</v>
      </c>
      <c r="B36" s="217">
        <f>B$37+B$48+B$59+B$61+B$68+B$71+B$73</f>
        <v>164.79535701330002</v>
      </c>
      <c r="C36" s="217">
        <f>C$37+C$48+C$59+C$61+C$68+C$71+C$73</f>
        <v>141.51231587689998</v>
      </c>
      <c r="D36" s="217">
        <f>D$37+D$48+D$59+D$61+D$68+D$71+D$73</f>
        <v>7341.7155526181605</v>
      </c>
      <c r="E36" s="218">
        <f>E$37+E$48+E$59+E$61+E$68+E$71+E$73</f>
        <v>0.76453199999999999</v>
      </c>
      <c r="F36" s="30"/>
      <c r="G36" s="30"/>
      <c r="H36" s="30"/>
      <c r="I36" s="30"/>
      <c r="J36" s="30"/>
      <c r="K36" s="30"/>
      <c r="L36" s="30"/>
      <c r="M36" s="30"/>
      <c r="N36" s="30"/>
      <c r="O36" s="30"/>
      <c r="P36" s="30"/>
      <c r="Q36" s="30"/>
      <c r="R36" s="30"/>
    </row>
    <row r="37" spans="1:18" ht="14.4" hidden="1" outlineLevel="3" x14ac:dyDescent="0.3">
      <c r="A37" s="225" t="s">
        <v>23</v>
      </c>
      <c r="B37" s="226">
        <f>SUM(B$38:B$47)</f>
        <v>127.84683503487001</v>
      </c>
      <c r="C37" s="226">
        <f>SUM(C$38:C$47)</f>
        <v>109.78404993445</v>
      </c>
      <c r="D37" s="226">
        <f>SUM(D$38:D$47)</f>
        <v>5695.6404242189501</v>
      </c>
      <c r="E37" s="227">
        <f>SUM(E$38:E$47)</f>
        <v>0.59311599999999998</v>
      </c>
      <c r="F37" s="30"/>
      <c r="G37" s="30"/>
      <c r="H37" s="30"/>
      <c r="I37" s="30"/>
      <c r="J37" s="30"/>
      <c r="K37" s="30"/>
      <c r="L37" s="30"/>
      <c r="M37" s="30"/>
      <c r="N37" s="30"/>
      <c r="O37" s="30"/>
      <c r="P37" s="30"/>
      <c r="Q37" s="30"/>
      <c r="R37" s="30"/>
    </row>
    <row r="38" spans="1:18" hidden="1" outlineLevel="4" x14ac:dyDescent="0.3">
      <c r="A38" s="189" t="s">
        <v>24</v>
      </c>
      <c r="B38" s="190">
        <v>1.0645447190000001E-2</v>
      </c>
      <c r="C38" s="190">
        <v>9.1414097600000001E-3</v>
      </c>
      <c r="D38" s="190">
        <v>0.47425999490999998</v>
      </c>
      <c r="E38" s="212">
        <v>4.8999999999999998E-5</v>
      </c>
      <c r="F38" s="30"/>
      <c r="G38" s="30"/>
      <c r="H38" s="30"/>
      <c r="I38" s="30"/>
      <c r="J38" s="30"/>
      <c r="K38" s="30"/>
      <c r="L38" s="30"/>
      <c r="M38" s="30"/>
      <c r="N38" s="30"/>
      <c r="O38" s="30"/>
      <c r="P38" s="30"/>
      <c r="Q38" s="30"/>
      <c r="R38" s="30"/>
    </row>
    <row r="39" spans="1:18" hidden="1" outlineLevel="4" x14ac:dyDescent="0.3">
      <c r="A39" s="189" t="s">
        <v>25</v>
      </c>
      <c r="B39" s="190">
        <v>0.59643974599000005</v>
      </c>
      <c r="C39" s="190">
        <v>0.51217201300000004</v>
      </c>
      <c r="D39" s="190">
        <v>26.571688903249999</v>
      </c>
      <c r="E39" s="212">
        <v>2.7669999999999999E-3</v>
      </c>
      <c r="F39" s="30"/>
      <c r="G39" s="30"/>
      <c r="H39" s="30"/>
      <c r="I39" s="30"/>
      <c r="J39" s="30"/>
      <c r="K39" s="30"/>
      <c r="L39" s="30"/>
      <c r="M39" s="30"/>
      <c r="N39" s="30"/>
      <c r="O39" s="30"/>
      <c r="P39" s="30"/>
      <c r="Q39" s="30"/>
      <c r="R39" s="30"/>
    </row>
    <row r="40" spans="1:18" hidden="1" outlineLevel="4" x14ac:dyDescent="0.3">
      <c r="A40" s="189" t="s">
        <v>26</v>
      </c>
      <c r="B40" s="190">
        <v>6.646053918E-2</v>
      </c>
      <c r="C40" s="190">
        <v>5.7070690479999998E-2</v>
      </c>
      <c r="D40" s="190">
        <v>2.96085025038</v>
      </c>
      <c r="E40" s="212">
        <v>3.0800000000000001E-4</v>
      </c>
      <c r="F40" s="30"/>
      <c r="G40" s="30"/>
      <c r="H40" s="30"/>
      <c r="I40" s="30"/>
      <c r="J40" s="30"/>
      <c r="K40" s="30"/>
      <c r="L40" s="30"/>
      <c r="M40" s="30"/>
      <c r="N40" s="30"/>
      <c r="O40" s="30"/>
      <c r="P40" s="30"/>
      <c r="Q40" s="30"/>
      <c r="R40" s="30"/>
    </row>
    <row r="41" spans="1:18" hidden="1" outlineLevel="4" x14ac:dyDescent="0.3">
      <c r="A41" s="189" t="s">
        <v>27</v>
      </c>
      <c r="B41" s="190">
        <v>3.2410563487599999</v>
      </c>
      <c r="C41" s="190">
        <v>2.7831450965100002</v>
      </c>
      <c r="D41" s="190">
        <v>144.39068086498</v>
      </c>
      <c r="E41" s="212">
        <v>1.5036000000000001E-2</v>
      </c>
      <c r="F41" s="30"/>
      <c r="G41" s="30"/>
      <c r="H41" s="30"/>
      <c r="I41" s="30"/>
      <c r="J41" s="30"/>
      <c r="K41" s="30"/>
      <c r="L41" s="30"/>
      <c r="M41" s="30"/>
      <c r="N41" s="30"/>
      <c r="O41" s="30"/>
      <c r="P41" s="30"/>
      <c r="Q41" s="30"/>
      <c r="R41" s="30"/>
    </row>
    <row r="42" spans="1:18" hidden="1" outlineLevel="4" x14ac:dyDescent="0.3">
      <c r="A42" s="189" t="s">
        <v>28</v>
      </c>
      <c r="B42" s="190">
        <v>63.543662208740002</v>
      </c>
      <c r="C42" s="190">
        <v>54.565923224000002</v>
      </c>
      <c r="D42" s="190">
        <v>2830.9019232304099</v>
      </c>
      <c r="E42" s="212">
        <v>0.29479699999999998</v>
      </c>
      <c r="F42" s="30"/>
      <c r="G42" s="30"/>
      <c r="H42" s="30"/>
      <c r="I42" s="30"/>
      <c r="J42" s="30"/>
      <c r="K42" s="30"/>
      <c r="L42" s="30"/>
      <c r="M42" s="30"/>
      <c r="N42" s="30"/>
      <c r="O42" s="30"/>
      <c r="P42" s="30"/>
      <c r="Q42" s="30"/>
      <c r="R42" s="30"/>
    </row>
    <row r="43" spans="1:18" hidden="1" outlineLevel="4" x14ac:dyDescent="0.3">
      <c r="A43" s="189" t="s">
        <v>29</v>
      </c>
      <c r="B43" s="190">
        <v>20.89980686501</v>
      </c>
      <c r="C43" s="190">
        <v>17.946986641190001</v>
      </c>
      <c r="D43" s="190">
        <v>931.09684573958998</v>
      </c>
      <c r="E43" s="212">
        <v>9.6960000000000005E-2</v>
      </c>
      <c r="F43" s="30"/>
      <c r="G43" s="30"/>
      <c r="H43" s="30"/>
      <c r="I43" s="30"/>
      <c r="J43" s="30"/>
      <c r="K43" s="30"/>
      <c r="L43" s="30"/>
      <c r="M43" s="30"/>
      <c r="N43" s="30"/>
      <c r="O43" s="30"/>
      <c r="P43" s="30"/>
      <c r="Q43" s="30"/>
      <c r="R43" s="30"/>
    </row>
    <row r="44" spans="1:18" hidden="1" outlineLevel="4" x14ac:dyDescent="0.3">
      <c r="A44" s="189" t="s">
        <v>30</v>
      </c>
      <c r="B44" s="190">
        <v>6.5922608341400002</v>
      </c>
      <c r="C44" s="190">
        <v>5.6608760975400001</v>
      </c>
      <c r="D44" s="190">
        <v>293.68851629141</v>
      </c>
      <c r="E44" s="212">
        <v>3.0582999999999999E-2</v>
      </c>
      <c r="F44" s="30"/>
      <c r="G44" s="30"/>
      <c r="H44" s="30"/>
      <c r="I44" s="30"/>
      <c r="J44" s="30"/>
      <c r="K44" s="30"/>
      <c r="L44" s="30"/>
      <c r="M44" s="30"/>
      <c r="N44" s="30"/>
      <c r="O44" s="30"/>
      <c r="P44" s="30"/>
      <c r="Q44" s="30"/>
      <c r="R44" s="30"/>
    </row>
    <row r="45" spans="1:18" hidden="1" outlineLevel="4" x14ac:dyDescent="0.3">
      <c r="A45" s="189" t="s">
        <v>31</v>
      </c>
      <c r="B45" s="190">
        <v>18.160870873170001</v>
      </c>
      <c r="C45" s="190">
        <v>15.59502004292</v>
      </c>
      <c r="D45" s="190">
        <v>809.07587783455995</v>
      </c>
      <c r="E45" s="212">
        <v>8.4252999999999995E-2</v>
      </c>
      <c r="F45" s="30"/>
      <c r="G45" s="30"/>
      <c r="H45" s="30"/>
      <c r="I45" s="30"/>
      <c r="J45" s="30"/>
      <c r="K45" s="30"/>
      <c r="L45" s="30"/>
      <c r="M45" s="30"/>
      <c r="N45" s="30"/>
      <c r="O45" s="30"/>
      <c r="P45" s="30"/>
      <c r="Q45" s="30"/>
      <c r="R45" s="30"/>
    </row>
    <row r="46" spans="1:18" hidden="1" outlineLevel="4" x14ac:dyDescent="0.3">
      <c r="A46" s="189" t="s">
        <v>32</v>
      </c>
      <c r="B46" s="190">
        <v>14.640149653570001</v>
      </c>
      <c r="C46" s="190">
        <v>12.57172240657</v>
      </c>
      <c r="D46" s="190">
        <v>652.22598714139997</v>
      </c>
      <c r="E46" s="212">
        <v>6.7919999999999994E-2</v>
      </c>
      <c r="F46" s="30"/>
      <c r="G46" s="30"/>
      <c r="H46" s="30"/>
      <c r="I46" s="30"/>
      <c r="J46" s="30"/>
      <c r="K46" s="30"/>
      <c r="L46" s="30"/>
      <c r="M46" s="30"/>
      <c r="N46" s="30"/>
      <c r="O46" s="30"/>
      <c r="P46" s="30"/>
      <c r="Q46" s="30"/>
      <c r="R46" s="30"/>
    </row>
    <row r="47" spans="1:18" hidden="1" outlineLevel="4" x14ac:dyDescent="0.3">
      <c r="A47" s="189" t="s">
        <v>33</v>
      </c>
      <c r="B47" s="190">
        <v>9.5482519119999998E-2</v>
      </c>
      <c r="C47" s="190">
        <v>8.1992312479999996E-2</v>
      </c>
      <c r="D47" s="190">
        <v>4.2537939680600001</v>
      </c>
      <c r="E47" s="212">
        <v>4.4299999999999998E-4</v>
      </c>
      <c r="F47" s="30"/>
      <c r="G47" s="30"/>
      <c r="H47" s="30"/>
      <c r="I47" s="30"/>
      <c r="J47" s="30"/>
      <c r="K47" s="30"/>
      <c r="L47" s="30"/>
      <c r="M47" s="30"/>
      <c r="N47" s="30"/>
      <c r="O47" s="30"/>
      <c r="P47" s="30"/>
      <c r="Q47" s="30"/>
      <c r="R47" s="30"/>
    </row>
    <row r="48" spans="1:18" ht="14.4" hidden="1" outlineLevel="3" x14ac:dyDescent="0.3">
      <c r="A48" s="225" t="s">
        <v>34</v>
      </c>
      <c r="B48" s="226">
        <f>SUM(B$49:B$58)</f>
        <v>8.0544491854799993</v>
      </c>
      <c r="C48" s="226">
        <f>SUM(C$49:C$58)</f>
        <v>6.91647979658</v>
      </c>
      <c r="D48" s="226">
        <f>SUM(D$49:D$58)</f>
        <v>358.82973843775005</v>
      </c>
      <c r="E48" s="227">
        <f>SUM(E$49:E$58)</f>
        <v>3.7366999999999997E-2</v>
      </c>
      <c r="F48" s="30"/>
      <c r="G48" s="30"/>
      <c r="H48" s="30"/>
      <c r="I48" s="30"/>
      <c r="J48" s="30"/>
      <c r="K48" s="30"/>
      <c r="L48" s="30"/>
      <c r="M48" s="30"/>
      <c r="N48" s="30"/>
      <c r="O48" s="30"/>
      <c r="P48" s="30"/>
      <c r="Q48" s="30"/>
      <c r="R48" s="30"/>
    </row>
    <row r="49" spans="1:18" hidden="1" outlineLevel="4" x14ac:dyDescent="0.3">
      <c r="A49" s="189" t="s">
        <v>35</v>
      </c>
      <c r="B49" s="190">
        <v>2.5834923379999999E-2</v>
      </c>
      <c r="C49" s="190">
        <v>2.2184847349999998E-2</v>
      </c>
      <c r="D49" s="190">
        <v>1.1509587542299999</v>
      </c>
      <c r="E49" s="212">
        <v>1.2E-4</v>
      </c>
      <c r="F49" s="30"/>
      <c r="G49" s="30"/>
      <c r="H49" s="30"/>
      <c r="I49" s="30"/>
      <c r="J49" s="30"/>
      <c r="K49" s="30"/>
      <c r="L49" s="30"/>
      <c r="M49" s="30"/>
      <c r="N49" s="30"/>
      <c r="O49" s="30"/>
      <c r="P49" s="30"/>
      <c r="Q49" s="30"/>
      <c r="R49" s="30"/>
    </row>
    <row r="50" spans="1:18" hidden="1" outlineLevel="4" x14ac:dyDescent="0.3">
      <c r="A50" s="189" t="s">
        <v>36</v>
      </c>
      <c r="B50" s="190">
        <v>0.23290602798999999</v>
      </c>
      <c r="C50" s="190">
        <v>0.2</v>
      </c>
      <c r="D50" s="190">
        <v>10.37608</v>
      </c>
      <c r="E50" s="212">
        <v>1.0809999999999999E-3</v>
      </c>
      <c r="F50" s="30"/>
      <c r="G50" s="30"/>
      <c r="H50" s="30"/>
      <c r="I50" s="30"/>
      <c r="J50" s="30"/>
      <c r="K50" s="30"/>
      <c r="L50" s="30"/>
      <c r="M50" s="30"/>
      <c r="N50" s="30"/>
      <c r="O50" s="30"/>
      <c r="P50" s="30"/>
      <c r="Q50" s="30"/>
      <c r="R50" s="30"/>
    </row>
    <row r="51" spans="1:18" hidden="1" outlineLevel="4" x14ac:dyDescent="0.3">
      <c r="A51" s="189" t="s">
        <v>37</v>
      </c>
      <c r="B51" s="190">
        <v>5.2664139310899998</v>
      </c>
      <c r="C51" s="190">
        <v>4.5223509039399996</v>
      </c>
      <c r="D51" s="190">
        <v>234.62137383704001</v>
      </c>
      <c r="E51" s="212">
        <v>2.4431999999999999E-2</v>
      </c>
      <c r="F51" s="30"/>
      <c r="G51" s="30"/>
      <c r="H51" s="30"/>
      <c r="I51" s="30"/>
      <c r="J51" s="30"/>
      <c r="K51" s="30"/>
      <c r="L51" s="30"/>
      <c r="M51" s="30"/>
      <c r="N51" s="30"/>
      <c r="O51" s="30"/>
      <c r="P51" s="30"/>
      <c r="Q51" s="30"/>
      <c r="R51" s="30"/>
    </row>
    <row r="52" spans="1:18" hidden="1" outlineLevel="4" x14ac:dyDescent="0.3">
      <c r="A52" s="189" t="s">
        <v>38</v>
      </c>
      <c r="B52" s="190">
        <v>0.23290602798999999</v>
      </c>
      <c r="C52" s="190">
        <v>0.2</v>
      </c>
      <c r="D52" s="190">
        <v>10.37608</v>
      </c>
      <c r="E52" s="212">
        <v>1.0809999999999999E-3</v>
      </c>
      <c r="F52" s="30"/>
      <c r="G52" s="30"/>
      <c r="H52" s="30"/>
      <c r="I52" s="30"/>
      <c r="J52" s="30"/>
      <c r="K52" s="30"/>
      <c r="L52" s="30"/>
      <c r="M52" s="30"/>
      <c r="N52" s="30"/>
      <c r="O52" s="30"/>
      <c r="P52" s="30"/>
      <c r="Q52" s="30"/>
      <c r="R52" s="30"/>
    </row>
    <row r="53" spans="1:18" hidden="1" outlineLevel="4" x14ac:dyDescent="0.3">
      <c r="A53" s="189" t="s">
        <v>39</v>
      </c>
      <c r="B53" s="190">
        <v>0.66239069313999999</v>
      </c>
      <c r="C53" s="190">
        <v>0.56880510896000003</v>
      </c>
      <c r="D53" s="190">
        <v>29.509836574880001</v>
      </c>
      <c r="E53" s="212">
        <v>3.0730000000000002E-3</v>
      </c>
      <c r="F53" s="30"/>
      <c r="G53" s="30"/>
      <c r="H53" s="30"/>
      <c r="I53" s="30"/>
      <c r="J53" s="30"/>
      <c r="K53" s="30"/>
      <c r="L53" s="30"/>
      <c r="M53" s="30"/>
      <c r="N53" s="30"/>
      <c r="O53" s="30"/>
      <c r="P53" s="30"/>
      <c r="Q53" s="30"/>
      <c r="R53" s="30"/>
    </row>
    <row r="54" spans="1:18" hidden="1" outlineLevel="4" x14ac:dyDescent="0.3">
      <c r="A54" s="189" t="s">
        <v>40</v>
      </c>
      <c r="B54" s="190">
        <v>0.14144776754999999</v>
      </c>
      <c r="C54" s="190">
        <v>0.12146338055</v>
      </c>
      <c r="D54" s="190">
        <v>6.3015687682900001</v>
      </c>
      <c r="E54" s="212">
        <v>6.5600000000000001E-4</v>
      </c>
      <c r="F54" s="30"/>
      <c r="G54" s="30"/>
      <c r="H54" s="30"/>
      <c r="I54" s="30"/>
      <c r="J54" s="30"/>
      <c r="K54" s="30"/>
      <c r="L54" s="30"/>
      <c r="M54" s="30"/>
      <c r="N54" s="30"/>
      <c r="O54" s="30"/>
      <c r="P54" s="30"/>
      <c r="Q54" s="30"/>
      <c r="R54" s="30"/>
    </row>
    <row r="55" spans="1:18" hidden="1" outlineLevel="4" x14ac:dyDescent="0.3">
      <c r="A55" s="189" t="s">
        <v>41</v>
      </c>
      <c r="B55" s="190">
        <v>0.1</v>
      </c>
      <c r="C55" s="190">
        <v>8.5871543009999995E-2</v>
      </c>
      <c r="D55" s="190">
        <v>4.45505</v>
      </c>
      <c r="E55" s="212">
        <v>4.64E-4</v>
      </c>
      <c r="F55" s="30"/>
      <c r="G55" s="30"/>
      <c r="H55" s="30"/>
      <c r="I55" s="30"/>
      <c r="J55" s="30"/>
      <c r="K55" s="30"/>
      <c r="L55" s="30"/>
      <c r="M55" s="30"/>
      <c r="N55" s="30"/>
      <c r="O55" s="30"/>
      <c r="P55" s="30"/>
      <c r="Q55" s="30"/>
      <c r="R55" s="30"/>
    </row>
    <row r="56" spans="1:18" hidden="1" outlineLevel="4" x14ac:dyDescent="0.3">
      <c r="A56" s="189" t="s">
        <v>42</v>
      </c>
      <c r="B56" s="190">
        <v>5.1251526E-4</v>
      </c>
      <c r="C56" s="190">
        <v>4.4010476999999999E-4</v>
      </c>
      <c r="D56" s="190">
        <v>2.2832811089999999E-2</v>
      </c>
      <c r="E56" s="212">
        <v>1.9999999999999999E-6</v>
      </c>
      <c r="F56" s="30"/>
      <c r="G56" s="30"/>
      <c r="H56" s="30"/>
      <c r="I56" s="30"/>
      <c r="J56" s="30"/>
      <c r="K56" s="30"/>
      <c r="L56" s="30"/>
      <c r="M56" s="30"/>
      <c r="N56" s="30"/>
      <c r="O56" s="30"/>
      <c r="P56" s="30"/>
      <c r="Q56" s="30"/>
      <c r="R56" s="30"/>
    </row>
    <row r="57" spans="1:18" hidden="1" outlineLevel="4" x14ac:dyDescent="0.3">
      <c r="A57" s="189" t="s">
        <v>43</v>
      </c>
      <c r="B57" s="190">
        <v>0.54694320029999999</v>
      </c>
      <c r="C57" s="190">
        <v>0.46966856548000002</v>
      </c>
      <c r="D57" s="190">
        <v>24.366593044529999</v>
      </c>
      <c r="E57" s="212">
        <v>2.5370000000000002E-3</v>
      </c>
      <c r="F57" s="30"/>
      <c r="G57" s="30"/>
      <c r="H57" s="30"/>
      <c r="I57" s="30"/>
      <c r="J57" s="30"/>
      <c r="K57" s="30"/>
      <c r="L57" s="30"/>
      <c r="M57" s="30"/>
      <c r="N57" s="30"/>
      <c r="O57" s="30"/>
      <c r="P57" s="30"/>
      <c r="Q57" s="30"/>
      <c r="R57" s="30"/>
    </row>
    <row r="58" spans="1:18" hidden="1" outlineLevel="4" x14ac:dyDescent="0.3">
      <c r="A58" s="189" t="s">
        <v>44</v>
      </c>
      <c r="B58" s="190">
        <v>0.84509409877999997</v>
      </c>
      <c r="C58" s="190">
        <v>0.72569534252000001</v>
      </c>
      <c r="D58" s="190">
        <v>37.64936464769</v>
      </c>
      <c r="E58" s="212">
        <v>3.921E-3</v>
      </c>
      <c r="F58" s="30"/>
      <c r="G58" s="30"/>
      <c r="H58" s="30"/>
      <c r="I58" s="30"/>
      <c r="J58" s="30"/>
      <c r="K58" s="30"/>
      <c r="L58" s="30"/>
      <c r="M58" s="30"/>
      <c r="N58" s="30"/>
      <c r="O58" s="30"/>
      <c r="P58" s="30"/>
      <c r="Q58" s="30"/>
      <c r="R58" s="30"/>
    </row>
    <row r="59" spans="1:18" ht="14.4" hidden="1" outlineLevel="3" x14ac:dyDescent="0.3">
      <c r="A59" s="225" t="s">
        <v>45</v>
      </c>
      <c r="B59" s="226">
        <f>SUM(B$60:B$60)</f>
        <v>0.60585586000000002</v>
      </c>
      <c r="C59" s="226">
        <f>SUM(C$60:C$60)</f>
        <v>0.52025777539999996</v>
      </c>
      <c r="D59" s="226">
        <f>SUM(D$60:D$60)</f>
        <v>26.99118149093</v>
      </c>
      <c r="E59" s="227">
        <f>SUM(E$60:E$60)</f>
        <v>2.8110000000000001E-3</v>
      </c>
      <c r="F59" s="30"/>
      <c r="G59" s="30"/>
      <c r="H59" s="30"/>
      <c r="I59" s="30"/>
      <c r="J59" s="30"/>
      <c r="K59" s="30"/>
      <c r="L59" s="30"/>
      <c r="M59" s="30"/>
      <c r="N59" s="30"/>
      <c r="O59" s="30"/>
      <c r="P59" s="30"/>
      <c r="Q59" s="30"/>
      <c r="R59" s="30"/>
    </row>
    <row r="60" spans="1:18" hidden="1" outlineLevel="4" x14ac:dyDescent="0.3">
      <c r="A60" s="189" t="s">
        <v>46</v>
      </c>
      <c r="B60" s="190">
        <v>0.60585586000000002</v>
      </c>
      <c r="C60" s="190">
        <v>0.52025777539999996</v>
      </c>
      <c r="D60" s="190">
        <v>26.99118149093</v>
      </c>
      <c r="E60" s="212">
        <v>2.8110000000000001E-3</v>
      </c>
      <c r="F60" s="30"/>
      <c r="G60" s="30"/>
      <c r="H60" s="30"/>
      <c r="I60" s="30"/>
      <c r="J60" s="30"/>
      <c r="K60" s="30"/>
      <c r="L60" s="30"/>
      <c r="M60" s="30"/>
      <c r="N60" s="30"/>
      <c r="O60" s="30"/>
      <c r="P60" s="30"/>
      <c r="Q60" s="30"/>
      <c r="R60" s="30"/>
    </row>
    <row r="61" spans="1:18" ht="14.4" hidden="1" outlineLevel="3" x14ac:dyDescent="0.3">
      <c r="A61" s="225" t="s">
        <v>47</v>
      </c>
      <c r="B61" s="226">
        <f>SUM(B$62:B$67)</f>
        <v>2.2171012581099996</v>
      </c>
      <c r="C61" s="226">
        <f>SUM(C$62:C$67)</f>
        <v>1.9038590604300001</v>
      </c>
      <c r="D61" s="226">
        <f>SUM(D$62:D$67)</f>
        <v>98.772969598670002</v>
      </c>
      <c r="E61" s="227">
        <f>SUM(E$62:E$67)</f>
        <v>1.0286E-2</v>
      </c>
      <c r="F61" s="30"/>
      <c r="G61" s="30"/>
      <c r="H61" s="30"/>
      <c r="I61" s="30"/>
      <c r="J61" s="30"/>
      <c r="K61" s="30"/>
      <c r="L61" s="30"/>
      <c r="M61" s="30"/>
      <c r="N61" s="30"/>
      <c r="O61" s="30"/>
      <c r="P61" s="30"/>
      <c r="Q61" s="30"/>
      <c r="R61" s="30"/>
    </row>
    <row r="62" spans="1:18" hidden="1" outlineLevel="4" x14ac:dyDescent="0.3">
      <c r="A62" s="189" t="s">
        <v>48</v>
      </c>
      <c r="B62" s="190">
        <v>0.75694459099</v>
      </c>
      <c r="C62" s="190">
        <v>0.65</v>
      </c>
      <c r="D62" s="190">
        <v>33.722259999999999</v>
      </c>
      <c r="E62" s="212">
        <v>3.5119999999999999E-3</v>
      </c>
      <c r="F62" s="30"/>
      <c r="G62" s="30"/>
      <c r="H62" s="30"/>
      <c r="I62" s="30"/>
      <c r="J62" s="30"/>
      <c r="K62" s="30"/>
      <c r="L62" s="30"/>
      <c r="M62" s="30"/>
      <c r="N62" s="30"/>
      <c r="O62" s="30"/>
      <c r="P62" s="30"/>
      <c r="Q62" s="30"/>
      <c r="R62" s="30"/>
    </row>
    <row r="63" spans="1:18" hidden="1" outlineLevel="4" x14ac:dyDescent="0.3">
      <c r="A63" s="189" t="s">
        <v>49</v>
      </c>
      <c r="B63" s="190">
        <v>5.9541489999999998E-5</v>
      </c>
      <c r="C63" s="190">
        <v>5.1129199999999998E-5</v>
      </c>
      <c r="D63" s="190">
        <v>2.6526033499999998E-3</v>
      </c>
      <c r="E63" s="212">
        <v>0</v>
      </c>
      <c r="F63" s="30"/>
      <c r="G63" s="30"/>
      <c r="H63" s="30"/>
      <c r="I63" s="30"/>
      <c r="J63" s="30"/>
      <c r="K63" s="30"/>
      <c r="L63" s="30"/>
      <c r="M63" s="30"/>
      <c r="N63" s="30"/>
      <c r="O63" s="30"/>
      <c r="P63" s="30"/>
      <c r="Q63" s="30"/>
      <c r="R63" s="30"/>
    </row>
    <row r="64" spans="1:18" hidden="1" outlineLevel="4" x14ac:dyDescent="0.3">
      <c r="A64" s="189" t="s">
        <v>50</v>
      </c>
      <c r="B64" s="190">
        <v>0.82491232078999999</v>
      </c>
      <c r="C64" s="190">
        <v>0.70836493834000003</v>
      </c>
      <c r="D64" s="190">
        <v>36.750256347190003</v>
      </c>
      <c r="E64" s="212">
        <v>3.8270000000000001E-3</v>
      </c>
      <c r="F64" s="30"/>
      <c r="G64" s="30"/>
      <c r="H64" s="30"/>
      <c r="I64" s="30"/>
      <c r="J64" s="30"/>
      <c r="K64" s="30"/>
      <c r="L64" s="30"/>
      <c r="M64" s="30"/>
      <c r="N64" s="30"/>
      <c r="O64" s="30"/>
      <c r="P64" s="30"/>
      <c r="Q64" s="30"/>
      <c r="R64" s="30"/>
    </row>
    <row r="65" spans="1:18" hidden="1" outlineLevel="4" x14ac:dyDescent="0.3">
      <c r="A65" s="189" t="s">
        <v>51</v>
      </c>
      <c r="B65" s="190">
        <v>0.13872094767000001</v>
      </c>
      <c r="C65" s="190">
        <v>0.11912181824</v>
      </c>
      <c r="D65" s="190">
        <v>6.1800875790200003</v>
      </c>
      <c r="E65" s="212">
        <v>6.4400000000000004E-4</v>
      </c>
      <c r="F65" s="30"/>
      <c r="G65" s="30"/>
      <c r="H65" s="30"/>
      <c r="I65" s="30"/>
      <c r="J65" s="30"/>
      <c r="K65" s="30"/>
      <c r="L65" s="30"/>
      <c r="M65" s="30"/>
      <c r="N65" s="30"/>
      <c r="O65" s="30"/>
      <c r="P65" s="30"/>
      <c r="Q65" s="30"/>
      <c r="R65" s="30"/>
    </row>
    <row r="66" spans="1:18" hidden="1" outlineLevel="4" x14ac:dyDescent="0.3">
      <c r="A66" s="189" t="s">
        <v>52</v>
      </c>
      <c r="B66" s="190">
        <v>0.28392775829</v>
      </c>
      <c r="C66" s="190">
        <v>0.24381314707999999</v>
      </c>
      <c r="D66" s="190">
        <v>12.64912359577</v>
      </c>
      <c r="E66" s="212">
        <v>1.317E-3</v>
      </c>
      <c r="F66" s="30"/>
      <c r="G66" s="30"/>
      <c r="H66" s="30"/>
      <c r="I66" s="30"/>
      <c r="J66" s="30"/>
      <c r="K66" s="30"/>
      <c r="L66" s="30"/>
      <c r="M66" s="30"/>
      <c r="N66" s="30"/>
      <c r="O66" s="30"/>
      <c r="P66" s="30"/>
      <c r="Q66" s="30"/>
      <c r="R66" s="30"/>
    </row>
    <row r="67" spans="1:18" hidden="1" outlineLevel="4" x14ac:dyDescent="0.3">
      <c r="A67" s="189" t="s">
        <v>53</v>
      </c>
      <c r="B67" s="190">
        <v>0.21253609888</v>
      </c>
      <c r="C67" s="190">
        <v>0.18250802757000001</v>
      </c>
      <c r="D67" s="190">
        <v>9.4685894733399998</v>
      </c>
      <c r="E67" s="212">
        <v>9.859999999999999E-4</v>
      </c>
      <c r="F67" s="30"/>
      <c r="G67" s="30"/>
      <c r="H67" s="30"/>
      <c r="I67" s="30"/>
      <c r="J67" s="30"/>
      <c r="K67" s="30"/>
      <c r="L67" s="30"/>
      <c r="M67" s="30"/>
      <c r="N67" s="30"/>
      <c r="O67" s="30"/>
      <c r="P67" s="30"/>
      <c r="Q67" s="30"/>
      <c r="R67" s="30"/>
    </row>
    <row r="68" spans="1:18" ht="14.4" hidden="1" outlineLevel="3" x14ac:dyDescent="0.3">
      <c r="A68" s="225" t="s">
        <v>54</v>
      </c>
      <c r="B68" s="226">
        <f>SUM(B$69:B$70)</f>
        <v>18.750640004000001</v>
      </c>
      <c r="C68" s="226">
        <f>SUM(C$69:C$70)</f>
        <v>16.101463895790001</v>
      </c>
      <c r="D68" s="226">
        <f>SUM(D$69:D$70)</f>
        <v>835.35038749821001</v>
      </c>
      <c r="E68" s="227">
        <f>SUM(E$69:E$70)</f>
        <v>8.6990000000000012E-2</v>
      </c>
      <c r="F68" s="30"/>
      <c r="G68" s="30"/>
      <c r="H68" s="30"/>
      <c r="I68" s="30"/>
      <c r="J68" s="30"/>
      <c r="K68" s="30"/>
      <c r="L68" s="30"/>
      <c r="M68" s="30"/>
      <c r="N68" s="30"/>
      <c r="O68" s="30"/>
      <c r="P68" s="30"/>
      <c r="Q68" s="30"/>
      <c r="R68" s="30"/>
    </row>
    <row r="69" spans="1:18" hidden="1" outlineLevel="4" x14ac:dyDescent="0.3">
      <c r="A69" s="189" t="s">
        <v>61</v>
      </c>
      <c r="B69" s="190">
        <v>15.252974684</v>
      </c>
      <c r="C69" s="190">
        <v>13.09796471616</v>
      </c>
      <c r="D69" s="190">
        <v>679.52764865954998</v>
      </c>
      <c r="E69" s="212">
        <v>7.0763000000000006E-2</v>
      </c>
      <c r="F69" s="30"/>
      <c r="G69" s="30"/>
      <c r="H69" s="30"/>
      <c r="I69" s="30"/>
      <c r="J69" s="30"/>
      <c r="K69" s="30"/>
      <c r="L69" s="30"/>
      <c r="M69" s="30"/>
      <c r="N69" s="30"/>
      <c r="O69" s="30"/>
      <c r="P69" s="30"/>
      <c r="Q69" s="30"/>
      <c r="R69" s="30"/>
    </row>
    <row r="70" spans="1:18" hidden="1" outlineLevel="4" x14ac:dyDescent="0.3">
      <c r="A70" s="189" t="s">
        <v>62</v>
      </c>
      <c r="B70" s="190">
        <v>3.4976653199999999</v>
      </c>
      <c r="C70" s="190">
        <v>3.0034991796299999</v>
      </c>
      <c r="D70" s="190">
        <v>155.82273883866</v>
      </c>
      <c r="E70" s="212">
        <v>1.6226999999999998E-2</v>
      </c>
      <c r="F70" s="30"/>
      <c r="G70" s="30"/>
      <c r="H70" s="30"/>
      <c r="I70" s="30"/>
      <c r="J70" s="30"/>
      <c r="K70" s="30"/>
      <c r="L70" s="30"/>
      <c r="M70" s="30"/>
      <c r="N70" s="30"/>
      <c r="O70" s="30"/>
      <c r="P70" s="30"/>
      <c r="Q70" s="30"/>
      <c r="R70" s="30"/>
    </row>
    <row r="71" spans="1:18" ht="14.4" hidden="1" outlineLevel="3" x14ac:dyDescent="0.3">
      <c r="A71" s="225" t="s">
        <v>63</v>
      </c>
      <c r="B71" s="226">
        <f>SUM(B$72:B$72)</f>
        <v>3</v>
      </c>
      <c r="C71" s="226">
        <f>SUM(C$72:C$72)</f>
        <v>2.5761462903100001</v>
      </c>
      <c r="D71" s="226">
        <f>SUM(D$72:D$72)</f>
        <v>133.6515</v>
      </c>
      <c r="E71" s="227">
        <f>SUM(E$72:E$72)</f>
        <v>1.3918E-2</v>
      </c>
      <c r="F71" s="30"/>
      <c r="G71" s="30"/>
      <c r="H71" s="30"/>
      <c r="I71" s="30"/>
      <c r="J71" s="30"/>
      <c r="K71" s="30"/>
      <c r="L71" s="30"/>
      <c r="M71" s="30"/>
      <c r="N71" s="30"/>
      <c r="O71" s="30"/>
      <c r="P71" s="30"/>
      <c r="Q71" s="30"/>
      <c r="R71" s="30"/>
    </row>
    <row r="72" spans="1:18" hidden="1" outlineLevel="4" x14ac:dyDescent="0.3">
      <c r="A72" s="189" t="s">
        <v>64</v>
      </c>
      <c r="B72" s="190">
        <v>3</v>
      </c>
      <c r="C72" s="190">
        <v>2.5761462903100001</v>
      </c>
      <c r="D72" s="190">
        <v>133.6515</v>
      </c>
      <c r="E72" s="212">
        <v>1.3918E-2</v>
      </c>
      <c r="F72" s="30"/>
      <c r="G72" s="30"/>
      <c r="H72" s="30"/>
      <c r="I72" s="30"/>
      <c r="J72" s="30"/>
      <c r="K72" s="30"/>
      <c r="L72" s="30"/>
      <c r="M72" s="30"/>
      <c r="N72" s="30"/>
      <c r="O72" s="30"/>
      <c r="P72" s="30"/>
      <c r="Q72" s="30"/>
      <c r="R72" s="30"/>
    </row>
    <row r="73" spans="1:18" ht="14.4" hidden="1" outlineLevel="3" x14ac:dyDescent="0.3">
      <c r="A73" s="225" t="s">
        <v>65</v>
      </c>
      <c r="B73" s="226">
        <f>SUM(B$74:B$74)</f>
        <v>4.3204756708399996</v>
      </c>
      <c r="C73" s="226">
        <f>SUM(C$74:C$74)</f>
        <v>3.7100591239399998</v>
      </c>
      <c r="D73" s="226">
        <f>SUM(D$74:D$74)</f>
        <v>192.47935137364999</v>
      </c>
      <c r="E73" s="227">
        <f>SUM(E$74:E$74)</f>
        <v>2.0043999999999999E-2</v>
      </c>
      <c r="F73" s="30"/>
      <c r="G73" s="30"/>
      <c r="H73" s="30"/>
      <c r="I73" s="30"/>
      <c r="J73" s="30"/>
      <c r="K73" s="30"/>
      <c r="L73" s="30"/>
      <c r="M73" s="30"/>
      <c r="N73" s="30"/>
      <c r="O73" s="30"/>
      <c r="P73" s="30"/>
      <c r="Q73" s="30"/>
      <c r="R73" s="30"/>
    </row>
    <row r="74" spans="1:18" hidden="1" outlineLevel="4" x14ac:dyDescent="0.3">
      <c r="A74" s="189" t="s">
        <v>32</v>
      </c>
      <c r="B74" s="190">
        <v>4.3204756708399996</v>
      </c>
      <c r="C74" s="190">
        <v>3.7100591239399998</v>
      </c>
      <c r="D74" s="190">
        <v>192.47935137364999</v>
      </c>
      <c r="E74" s="212">
        <v>2.0043999999999999E-2</v>
      </c>
      <c r="F74" s="30"/>
      <c r="G74" s="30"/>
      <c r="H74" s="30"/>
      <c r="I74" s="30"/>
      <c r="J74" s="30"/>
      <c r="K74" s="30"/>
      <c r="L74" s="30"/>
      <c r="M74" s="30"/>
      <c r="N74" s="30"/>
      <c r="O74" s="30"/>
      <c r="P74" s="30"/>
      <c r="Q74" s="30"/>
      <c r="R74" s="30"/>
    </row>
    <row r="75" spans="1:18" ht="14.4" outlineLevel="2" collapsed="1" x14ac:dyDescent="0.3">
      <c r="A75" s="216" t="s">
        <v>2</v>
      </c>
      <c r="B75" s="217">
        <f>B$76+B$83+B$86+B$88+B$90</f>
        <v>4.39947909218</v>
      </c>
      <c r="C75" s="217">
        <f>C$76+C$83+C$86+C$88+C$90</f>
        <v>3.7779005809000004</v>
      </c>
      <c r="D75" s="217">
        <f>D$76+D$83+D$86+D$88+D$90</f>
        <v>195.99899329690004</v>
      </c>
      <c r="E75" s="218">
        <f>E$76+E$83+E$86+E$88+E$90</f>
        <v>2.0410000000000001E-2</v>
      </c>
      <c r="F75" s="30"/>
      <c r="G75" s="30"/>
      <c r="H75" s="30"/>
      <c r="I75" s="30"/>
      <c r="J75" s="30"/>
      <c r="K75" s="30"/>
      <c r="L75" s="30"/>
      <c r="M75" s="30"/>
      <c r="N75" s="30"/>
      <c r="O75" s="30"/>
      <c r="P75" s="30"/>
      <c r="Q75" s="30"/>
      <c r="R75" s="30"/>
    </row>
    <row r="76" spans="1:18" ht="14.4" hidden="1" outlineLevel="3" x14ac:dyDescent="0.3">
      <c r="A76" s="225" t="s">
        <v>23</v>
      </c>
      <c r="B76" s="226">
        <f>SUM(B$77:B$82)</f>
        <v>2.4449649041699999</v>
      </c>
      <c r="C76" s="226">
        <f>SUM(C$77:C$82)</f>
        <v>2.0995290892900003</v>
      </c>
      <c r="D76" s="226">
        <f>SUM(D$77:D$82)</f>
        <v>108.92440896404001</v>
      </c>
      <c r="E76" s="227">
        <f>SUM(E$77:E$82)</f>
        <v>1.1343000000000001E-2</v>
      </c>
      <c r="F76" s="30"/>
      <c r="G76" s="30"/>
      <c r="H76" s="30"/>
      <c r="I76" s="30"/>
      <c r="J76" s="30"/>
      <c r="K76" s="30"/>
      <c r="L76" s="30"/>
      <c r="M76" s="30"/>
      <c r="N76" s="30"/>
      <c r="O76" s="30"/>
      <c r="P76" s="30"/>
      <c r="Q76" s="30"/>
      <c r="R76" s="30"/>
    </row>
    <row r="77" spans="1:18" hidden="1" outlineLevel="4" x14ac:dyDescent="0.3">
      <c r="A77" s="189" t="s">
        <v>81</v>
      </c>
      <c r="B77" s="190">
        <v>0.34935904199000001</v>
      </c>
      <c r="C77" s="190">
        <v>0.3</v>
      </c>
      <c r="D77" s="190">
        <v>15.564120000000001</v>
      </c>
      <c r="E77" s="212">
        <v>1.621E-3</v>
      </c>
      <c r="F77" s="30"/>
      <c r="G77" s="30"/>
      <c r="H77" s="30"/>
      <c r="I77" s="30"/>
      <c r="J77" s="30"/>
      <c r="K77" s="30"/>
      <c r="L77" s="30"/>
      <c r="M77" s="30"/>
      <c r="N77" s="30"/>
      <c r="O77" s="30"/>
      <c r="P77" s="30"/>
      <c r="Q77" s="30"/>
      <c r="R77" s="30"/>
    </row>
    <row r="78" spans="1:18" hidden="1" outlineLevel="4" x14ac:dyDescent="0.3">
      <c r="A78" s="189" t="s">
        <v>26</v>
      </c>
      <c r="B78" s="190">
        <v>1.14285080928</v>
      </c>
      <c r="C78" s="190">
        <v>0.98138362426000003</v>
      </c>
      <c r="D78" s="190">
        <v>50.914574980060003</v>
      </c>
      <c r="E78" s="212">
        <v>5.3020000000000003E-3</v>
      </c>
      <c r="F78" s="30"/>
      <c r="G78" s="30"/>
      <c r="H78" s="30"/>
      <c r="I78" s="30"/>
      <c r="J78" s="30"/>
      <c r="K78" s="30"/>
      <c r="L78" s="30"/>
      <c r="M78" s="30"/>
      <c r="N78" s="30"/>
      <c r="O78" s="30"/>
      <c r="P78" s="30"/>
      <c r="Q78" s="30"/>
      <c r="R78" s="30"/>
    </row>
    <row r="79" spans="1:18" hidden="1" outlineLevel="4" x14ac:dyDescent="0.3">
      <c r="A79" s="189" t="s">
        <v>27</v>
      </c>
      <c r="B79" s="190">
        <v>0.20540277737000001</v>
      </c>
      <c r="C79" s="190">
        <v>0.17638253431000001</v>
      </c>
      <c r="D79" s="190">
        <v>9.15079643302</v>
      </c>
      <c r="E79" s="212">
        <v>9.5299999999999996E-4</v>
      </c>
      <c r="F79" s="30"/>
      <c r="G79" s="30"/>
      <c r="H79" s="30"/>
      <c r="I79" s="30"/>
      <c r="J79" s="30"/>
      <c r="K79" s="30"/>
      <c r="L79" s="30"/>
      <c r="M79" s="30"/>
      <c r="N79" s="30"/>
      <c r="O79" s="30"/>
      <c r="P79" s="30"/>
      <c r="Q79" s="30"/>
      <c r="R79" s="30"/>
    </row>
    <row r="80" spans="1:18" hidden="1" outlineLevel="4" x14ac:dyDescent="0.3">
      <c r="A80" s="189" t="s">
        <v>31</v>
      </c>
      <c r="B80" s="190">
        <v>0.49715442519000003</v>
      </c>
      <c r="C80" s="190">
        <v>0.42691417605999998</v>
      </c>
      <c r="D80" s="190">
        <v>22.14847821943</v>
      </c>
      <c r="E80" s="212">
        <v>2.3059999999999999E-3</v>
      </c>
      <c r="F80" s="30"/>
      <c r="G80" s="30"/>
      <c r="H80" s="30"/>
      <c r="I80" s="30"/>
      <c r="J80" s="30"/>
      <c r="K80" s="30"/>
      <c r="L80" s="30"/>
      <c r="M80" s="30"/>
      <c r="N80" s="30"/>
      <c r="O80" s="30"/>
      <c r="P80" s="30"/>
      <c r="Q80" s="30"/>
      <c r="R80" s="30"/>
    </row>
    <row r="81" spans="1:18" hidden="1" outlineLevel="4" x14ac:dyDescent="0.3">
      <c r="A81" s="189" t="s">
        <v>32</v>
      </c>
      <c r="B81" s="190">
        <v>0.24915951851000001</v>
      </c>
      <c r="C81" s="190">
        <v>0.21395712310000001</v>
      </c>
      <c r="D81" s="190">
        <v>11.100181129339999</v>
      </c>
      <c r="E81" s="212">
        <v>1.1559999999999999E-3</v>
      </c>
      <c r="F81" s="30"/>
      <c r="G81" s="30"/>
      <c r="H81" s="30"/>
      <c r="I81" s="30"/>
      <c r="J81" s="30"/>
      <c r="K81" s="30"/>
      <c r="L81" s="30"/>
      <c r="M81" s="30"/>
      <c r="N81" s="30"/>
      <c r="O81" s="30"/>
      <c r="P81" s="30"/>
      <c r="Q81" s="30"/>
      <c r="R81" s="30"/>
    </row>
    <row r="82" spans="1:18" hidden="1" outlineLevel="4" x14ac:dyDescent="0.3">
      <c r="A82" s="189" t="s">
        <v>33</v>
      </c>
      <c r="B82" s="190">
        <v>1.0383318299999999E-3</v>
      </c>
      <c r="C82" s="190">
        <v>8.9163155999999997E-4</v>
      </c>
      <c r="D82" s="190">
        <v>4.625820219E-2</v>
      </c>
      <c r="E82" s="212">
        <v>5.0000000000000004E-6</v>
      </c>
      <c r="F82" s="30"/>
      <c r="G82" s="30"/>
      <c r="H82" s="30"/>
      <c r="I82" s="30"/>
      <c r="J82" s="30"/>
      <c r="K82" s="30"/>
      <c r="L82" s="30"/>
      <c r="M82" s="30"/>
      <c r="N82" s="30"/>
      <c r="O82" s="30"/>
      <c r="P82" s="30"/>
      <c r="Q82" s="30"/>
      <c r="R82" s="30"/>
    </row>
    <row r="83" spans="1:18" ht="14.4" hidden="1" outlineLevel="3" x14ac:dyDescent="0.3">
      <c r="A83" s="225" t="s">
        <v>82</v>
      </c>
      <c r="B83" s="226">
        <f>SUM(B$84:B$85)</f>
        <v>0.86157590034999998</v>
      </c>
      <c r="C83" s="226">
        <f>SUM(C$84:C$85)</f>
        <v>0.73984851984</v>
      </c>
      <c r="D83" s="226">
        <f>SUM(D$84:D$85)</f>
        <v>38.383637148520002</v>
      </c>
      <c r="E83" s="227">
        <f>SUM(E$84:E$85)</f>
        <v>3.9970000000000006E-3</v>
      </c>
      <c r="F83" s="30"/>
      <c r="G83" s="30"/>
      <c r="H83" s="30"/>
      <c r="I83" s="30"/>
      <c r="J83" s="30"/>
      <c r="K83" s="30"/>
      <c r="L83" s="30"/>
      <c r="M83" s="30"/>
      <c r="N83" s="30"/>
      <c r="O83" s="30"/>
      <c r="P83" s="30"/>
      <c r="Q83" s="30"/>
      <c r="R83" s="30"/>
    </row>
    <row r="84" spans="1:18" hidden="1" outlineLevel="4" x14ac:dyDescent="0.3">
      <c r="A84" s="189" t="s">
        <v>83</v>
      </c>
      <c r="B84" s="190">
        <v>0.82499999999999996</v>
      </c>
      <c r="C84" s="190">
        <v>0.70844022983999999</v>
      </c>
      <c r="D84" s="190">
        <v>36.7541625</v>
      </c>
      <c r="E84" s="212">
        <v>3.8270000000000001E-3</v>
      </c>
      <c r="F84" s="30"/>
      <c r="G84" s="30"/>
      <c r="H84" s="30"/>
      <c r="I84" s="30"/>
      <c r="J84" s="30"/>
      <c r="K84" s="30"/>
      <c r="L84" s="30"/>
      <c r="M84" s="30"/>
      <c r="N84" s="30"/>
      <c r="O84" s="30"/>
      <c r="P84" s="30"/>
      <c r="Q84" s="30"/>
      <c r="R84" s="30"/>
    </row>
    <row r="85" spans="1:18" hidden="1" outlineLevel="4" x14ac:dyDescent="0.3">
      <c r="A85" s="189" t="s">
        <v>39</v>
      </c>
      <c r="B85" s="190">
        <v>3.6575900350000003E-2</v>
      </c>
      <c r="C85" s="190">
        <v>3.1408289999999998E-2</v>
      </c>
      <c r="D85" s="190">
        <v>1.62947464852</v>
      </c>
      <c r="E85" s="212">
        <v>1.7000000000000001E-4</v>
      </c>
      <c r="F85" s="30"/>
      <c r="G85" s="30"/>
      <c r="H85" s="30"/>
      <c r="I85" s="30"/>
      <c r="J85" s="30"/>
      <c r="K85" s="30"/>
      <c r="L85" s="30"/>
      <c r="M85" s="30"/>
      <c r="N85" s="30"/>
      <c r="O85" s="30"/>
      <c r="P85" s="30"/>
      <c r="Q85" s="30"/>
      <c r="R85" s="30"/>
    </row>
    <row r="86" spans="1:18" ht="14.4" hidden="1" outlineLevel="3" x14ac:dyDescent="0.3">
      <c r="A86" s="225" t="s">
        <v>47</v>
      </c>
      <c r="B86" s="226">
        <f>SUM(B$87:B$87)</f>
        <v>0.15645230804999999</v>
      </c>
      <c r="C86" s="226">
        <f>SUM(C$87:C$87)</f>
        <v>0.13434801099999999</v>
      </c>
      <c r="D86" s="226">
        <f>SUM(D$87:D$87)</f>
        <v>6.9700285497800003</v>
      </c>
      <c r="E86" s="227">
        <f>SUM(E$87:E$87)</f>
        <v>7.2599999999999997E-4</v>
      </c>
      <c r="F86" s="30"/>
      <c r="G86" s="30"/>
      <c r="H86" s="30"/>
      <c r="I86" s="30"/>
      <c r="J86" s="30"/>
      <c r="K86" s="30"/>
      <c r="L86" s="30"/>
      <c r="M86" s="30"/>
      <c r="N86" s="30"/>
      <c r="O86" s="30"/>
      <c r="P86" s="30"/>
      <c r="Q86" s="30"/>
      <c r="R86" s="30"/>
    </row>
    <row r="87" spans="1:18" hidden="1" outlineLevel="4" x14ac:dyDescent="0.3">
      <c r="A87" s="189" t="s">
        <v>84</v>
      </c>
      <c r="B87" s="190">
        <v>0.15645230804999999</v>
      </c>
      <c r="C87" s="190">
        <v>0.13434801099999999</v>
      </c>
      <c r="D87" s="190">
        <v>6.9700285497800003</v>
      </c>
      <c r="E87" s="212">
        <v>7.2599999999999997E-4</v>
      </c>
      <c r="F87" s="30"/>
      <c r="G87" s="30"/>
      <c r="H87" s="30"/>
      <c r="I87" s="30"/>
      <c r="J87" s="30"/>
      <c r="K87" s="30"/>
      <c r="L87" s="30"/>
      <c r="M87" s="30"/>
      <c r="N87" s="30"/>
      <c r="O87" s="30"/>
      <c r="P87" s="30"/>
      <c r="Q87" s="30"/>
      <c r="R87" s="30"/>
    </row>
    <row r="88" spans="1:18" ht="14.4" hidden="1" outlineLevel="3" x14ac:dyDescent="0.3">
      <c r="A88" s="225" t="s">
        <v>85</v>
      </c>
      <c r="B88" s="226">
        <f>SUM(B$89:B$89)</f>
        <v>0.82499999999999996</v>
      </c>
      <c r="C88" s="226">
        <f>SUM(C$89:C$89)</f>
        <v>0.70844022983999999</v>
      </c>
      <c r="D88" s="226">
        <f>SUM(D$89:D$89)</f>
        <v>36.7541625</v>
      </c>
      <c r="E88" s="227">
        <f>SUM(E$89:E$89)</f>
        <v>3.8270000000000001E-3</v>
      </c>
      <c r="F88" s="30"/>
      <c r="G88" s="30"/>
      <c r="H88" s="30"/>
      <c r="I88" s="30"/>
      <c r="J88" s="30"/>
      <c r="K88" s="30"/>
      <c r="L88" s="30"/>
      <c r="M88" s="30"/>
      <c r="N88" s="30"/>
      <c r="O88" s="30"/>
      <c r="P88" s="30"/>
      <c r="Q88" s="30"/>
      <c r="R88" s="30"/>
    </row>
    <row r="89" spans="1:18" hidden="1" outlineLevel="4" x14ac:dyDescent="0.3">
      <c r="A89" s="189" t="s">
        <v>87</v>
      </c>
      <c r="B89" s="190">
        <v>0.82499999999999996</v>
      </c>
      <c r="C89" s="190">
        <v>0.70844022983999999</v>
      </c>
      <c r="D89" s="190">
        <v>36.7541625</v>
      </c>
      <c r="E89" s="212">
        <v>3.8270000000000001E-3</v>
      </c>
      <c r="F89" s="30"/>
      <c r="G89" s="30"/>
      <c r="H89" s="30"/>
      <c r="I89" s="30"/>
      <c r="J89" s="30"/>
      <c r="K89" s="30"/>
      <c r="L89" s="30"/>
      <c r="M89" s="30"/>
      <c r="N89" s="30"/>
      <c r="O89" s="30"/>
      <c r="P89" s="30"/>
      <c r="Q89" s="30"/>
      <c r="R89" s="30"/>
    </row>
    <row r="90" spans="1:18" ht="14.4" hidden="1" outlineLevel="3" x14ac:dyDescent="0.3">
      <c r="A90" s="225" t="s">
        <v>65</v>
      </c>
      <c r="B90" s="226">
        <f>SUM(B$91:B$91)</f>
        <v>0.11148597960999999</v>
      </c>
      <c r="C90" s="226">
        <f>SUM(C$91:C$91)</f>
        <v>9.5734730929999998E-2</v>
      </c>
      <c r="D90" s="226">
        <f>SUM(D$91:D$91)</f>
        <v>4.9667561345599998</v>
      </c>
      <c r="E90" s="227">
        <f>SUM(E$91:E$91)</f>
        <v>5.1699999999999999E-4</v>
      </c>
      <c r="F90" s="30"/>
      <c r="G90" s="30"/>
      <c r="H90" s="30"/>
      <c r="I90" s="30"/>
      <c r="J90" s="30"/>
      <c r="K90" s="30"/>
      <c r="L90" s="30"/>
      <c r="M90" s="30"/>
      <c r="N90" s="30"/>
      <c r="O90" s="30"/>
      <c r="P90" s="30"/>
      <c r="Q90" s="30"/>
      <c r="R90" s="30"/>
    </row>
    <row r="91" spans="1:18" hidden="1" outlineLevel="4" x14ac:dyDescent="0.3">
      <c r="A91" s="189" t="s">
        <v>32</v>
      </c>
      <c r="B91" s="190">
        <v>0.11148597960999999</v>
      </c>
      <c r="C91" s="190">
        <v>9.5734730929999998E-2</v>
      </c>
      <c r="D91" s="190">
        <v>4.9667561345599998</v>
      </c>
      <c r="E91" s="212">
        <v>5.1699999999999999E-4</v>
      </c>
      <c r="F91" s="30"/>
      <c r="G91" s="30"/>
      <c r="H91" s="30"/>
      <c r="I91" s="30"/>
      <c r="J91" s="30"/>
      <c r="K91" s="30"/>
      <c r="L91" s="30"/>
      <c r="M91" s="30"/>
      <c r="N91" s="30"/>
      <c r="O91" s="30"/>
      <c r="P91" s="30"/>
      <c r="Q91" s="30"/>
      <c r="R91" s="30"/>
    </row>
    <row r="92" spans="1:18" ht="40.049999999999997" customHeight="1" x14ac:dyDescent="0.3">
      <c r="A92" s="298" t="s">
        <v>158</v>
      </c>
      <c r="B92" s="299"/>
      <c r="C92" s="299"/>
      <c r="D92" s="299"/>
      <c r="E92" s="299"/>
      <c r="F92" s="30"/>
      <c r="G92" s="30"/>
      <c r="H92" s="30"/>
      <c r="I92" s="30"/>
      <c r="J92" s="30"/>
      <c r="K92" s="30"/>
      <c r="L92" s="30"/>
      <c r="M92" s="30"/>
      <c r="N92" s="30"/>
      <c r="O92" s="30"/>
      <c r="P92" s="30"/>
      <c r="Q92" s="30"/>
      <c r="R92" s="30"/>
    </row>
    <row r="93" spans="1:18" x14ac:dyDescent="0.3">
      <c r="B93" s="29"/>
      <c r="C93" s="29"/>
      <c r="D93" s="29"/>
      <c r="E93" s="67"/>
      <c r="F93" s="30"/>
      <c r="G93" s="30"/>
      <c r="H93" s="30"/>
      <c r="I93" s="30"/>
      <c r="J93" s="30"/>
      <c r="K93" s="30"/>
      <c r="L93" s="30"/>
      <c r="M93" s="30"/>
      <c r="N93" s="30"/>
      <c r="O93" s="30"/>
      <c r="P93" s="30"/>
      <c r="Q93" s="30"/>
      <c r="R93" s="30"/>
    </row>
    <row r="94" spans="1:18" x14ac:dyDescent="0.3">
      <c r="B94" s="29"/>
      <c r="C94" s="29"/>
      <c r="D94" s="29"/>
      <c r="E94" s="67"/>
      <c r="F94" s="30"/>
      <c r="G94" s="30"/>
      <c r="H94" s="30"/>
      <c r="I94" s="30"/>
      <c r="J94" s="30"/>
      <c r="K94" s="30"/>
      <c r="L94" s="30"/>
      <c r="M94" s="30"/>
      <c r="N94" s="30"/>
      <c r="O94" s="30"/>
      <c r="P94" s="30"/>
      <c r="Q94" s="30"/>
      <c r="R94" s="30"/>
    </row>
    <row r="95" spans="1:18" x14ac:dyDescent="0.3">
      <c r="B95" s="29"/>
      <c r="C95" s="29"/>
      <c r="D95" s="29"/>
      <c r="E95" s="67"/>
      <c r="F95" s="30"/>
      <c r="G95" s="30"/>
      <c r="H95" s="30"/>
      <c r="I95" s="30"/>
      <c r="J95" s="30"/>
      <c r="K95" s="30"/>
      <c r="L95" s="30"/>
      <c r="M95" s="30"/>
      <c r="N95" s="30"/>
      <c r="O95" s="30"/>
      <c r="P95" s="30"/>
      <c r="Q95" s="30"/>
      <c r="R95" s="30"/>
    </row>
    <row r="96" spans="1: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sheetData>
  <mergeCells count="3">
    <mergeCell ref="A2:E2"/>
    <mergeCell ref="A3:E3"/>
    <mergeCell ref="A92:E92"/>
  </mergeCells>
  <phoneticPr fontId="4" type="noConversion"/>
  <printOptions horizontalCentered="1" verticalCentered="1"/>
  <pageMargins left="0.78740157480314998" right="0.78740157480314998" top="0.98425196850393704" bottom="0.98425196850393704" header="0.511811023622047" footer="0.511811023622047"/>
  <pageSetup paperSize="9" scale="9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15">
    <tabColor indexed="20"/>
    <outlinePr applyStyles="1" summaryBelow="0"/>
    <pageSetUpPr fitToPage="1"/>
  </sheetPr>
  <dimension ref="A2:T183"/>
  <sheetViews>
    <sheetView topLeftCell="A91" workbookViewId="0">
      <selection activeCell="C7" sqref="C7"/>
    </sheetView>
  </sheetViews>
  <sheetFormatPr defaultColWidth="9.109375" defaultRowHeight="13.8" outlineLevelRow="3"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2" spans="1:20" ht="36" customHeight="1" x14ac:dyDescent="0.35">
      <c r="A2" s="4" t="str">
        <f>DEBT_AS_OF_DATE</f>
        <v>Державний та гарантований державою борг України
станом на 31.08.2026</v>
      </c>
      <c r="B2" s="3"/>
      <c r="C2" s="3"/>
      <c r="D2" s="3"/>
      <c r="E2" s="3"/>
      <c r="F2" s="30"/>
      <c r="G2" s="30"/>
      <c r="H2" s="30"/>
      <c r="I2" s="30"/>
      <c r="J2" s="30"/>
      <c r="K2" s="30"/>
      <c r="L2" s="30"/>
      <c r="M2" s="30"/>
      <c r="N2" s="30"/>
      <c r="O2" s="30"/>
      <c r="P2" s="30"/>
      <c r="Q2" s="30"/>
      <c r="R2" s="30"/>
      <c r="S2" s="30"/>
      <c r="T2" s="30"/>
    </row>
    <row r="3" spans="1:20" ht="18" x14ac:dyDescent="0.35">
      <c r="A3" s="1" t="str">
        <f>BY_CREDITOR_TYPE</f>
        <v>(за типом кредитора)</v>
      </c>
      <c r="B3" s="1"/>
      <c r="C3" s="1"/>
      <c r="D3" s="1"/>
      <c r="E3" s="1"/>
    </row>
    <row r="4" spans="1:20" x14ac:dyDescent="0.3">
      <c r="B4" s="29"/>
      <c r="C4" s="29"/>
      <c r="D4" s="29"/>
      <c r="E4" s="67"/>
      <c r="F4" s="30"/>
      <c r="G4" s="30"/>
      <c r="H4" s="30"/>
      <c r="I4" s="30"/>
      <c r="J4" s="30"/>
      <c r="K4" s="30"/>
      <c r="L4" s="30"/>
      <c r="M4" s="30"/>
      <c r="N4" s="30"/>
      <c r="O4" s="30"/>
      <c r="P4" s="30"/>
      <c r="Q4" s="30"/>
      <c r="R4" s="30"/>
    </row>
    <row r="5" spans="1:20" s="31" customFormat="1" x14ac:dyDescent="0.3">
      <c r="B5" s="32"/>
      <c r="C5" s="32"/>
      <c r="D5" s="32"/>
      <c r="E5" s="31" t="str">
        <f>VALVAL</f>
        <v>млрд. одиниць</v>
      </c>
    </row>
    <row r="6" spans="1:20" s="18" customFormat="1" x14ac:dyDescent="0.25">
      <c r="A6" s="16"/>
      <c r="B6" s="72" t="str">
        <f>USD</f>
        <v>дол. США</v>
      </c>
      <c r="C6" s="72" t="str">
        <f>EUR</f>
        <v>євро</v>
      </c>
      <c r="D6" s="72" t="str">
        <f>UAH</f>
        <v>грн.</v>
      </c>
      <c r="E6" s="73" t="s">
        <v>0</v>
      </c>
    </row>
    <row r="7" spans="1:20" s="19" customFormat="1" ht="15.6" x14ac:dyDescent="0.25">
      <c r="A7" s="158" t="str">
        <f>DEBT_TOTAL</f>
        <v>Загальна сума державного та гарантованого державою боргу</v>
      </c>
      <c r="B7" s="152">
        <f>SUM(B8:B46)</f>
        <v>215.55073598984998</v>
      </c>
      <c r="C7" s="152">
        <f>SUM(C8:C46)</f>
        <v>185.09674296469998</v>
      </c>
      <c r="D7" s="152">
        <f>SUM(D8:D46)</f>
        <v>9602.8930637009707</v>
      </c>
      <c r="E7" s="151">
        <f>SUM(E8:E46)</f>
        <v>1.0000009999999999</v>
      </c>
    </row>
    <row r="8" spans="1:20" s="20" customFormat="1" outlineLevel="3" x14ac:dyDescent="0.25">
      <c r="A8" s="186" t="s">
        <v>143</v>
      </c>
      <c r="B8" s="234">
        <v>44.995762902160003</v>
      </c>
      <c r="C8" s="234">
        <v>38.638555893209997</v>
      </c>
      <c r="D8" s="234">
        <v>2004.5837351605001</v>
      </c>
      <c r="E8" s="235">
        <v>0.20874799999999999</v>
      </c>
    </row>
    <row r="9" spans="1:20" s="21" customFormat="1" outlineLevel="3" x14ac:dyDescent="0.25">
      <c r="A9" s="186" t="s">
        <v>144</v>
      </c>
      <c r="B9" s="234">
        <v>1.36011555372</v>
      </c>
      <c r="C9" s="234">
        <v>1.1679522127099999</v>
      </c>
      <c r="D9" s="234">
        <v>60.593827975410001</v>
      </c>
      <c r="E9" s="235">
        <v>6.3099999999999996E-3</v>
      </c>
    </row>
    <row r="10" spans="1:20" s="22" customFormat="1" outlineLevel="3" x14ac:dyDescent="0.25">
      <c r="A10" s="237" t="s">
        <v>145</v>
      </c>
      <c r="B10" s="187">
        <v>2.1428489999999999E-5</v>
      </c>
      <c r="C10" s="187">
        <v>1.8400980000000001E-5</v>
      </c>
      <c r="D10" s="187">
        <v>9.5465000000000003E-4</v>
      </c>
      <c r="E10" s="236">
        <v>0</v>
      </c>
    </row>
    <row r="11" spans="1:20" outlineLevel="3" x14ac:dyDescent="0.3">
      <c r="A11" s="191" t="s">
        <v>146</v>
      </c>
      <c r="B11" s="190">
        <v>22.575640004</v>
      </c>
      <c r="C11" s="190">
        <v>19.386050415940002</v>
      </c>
      <c r="D11" s="190">
        <v>1005.75604999821</v>
      </c>
      <c r="E11" s="212">
        <v>0.10473499999999999</v>
      </c>
      <c r="F11" s="30"/>
      <c r="G11" s="30"/>
      <c r="H11" s="30"/>
      <c r="I11" s="30"/>
      <c r="J11" s="30"/>
      <c r="K11" s="30"/>
      <c r="L11" s="30"/>
      <c r="M11" s="30"/>
      <c r="N11" s="30"/>
      <c r="O11" s="30"/>
      <c r="P11" s="30"/>
      <c r="Q11" s="30"/>
      <c r="R11" s="30"/>
    </row>
    <row r="12" spans="1:20" outlineLevel="3" x14ac:dyDescent="0.3">
      <c r="A12" s="191" t="s">
        <v>147</v>
      </c>
      <c r="B12" s="190">
        <v>2.37355356616</v>
      </c>
      <c r="C12" s="190">
        <v>2.03820707143</v>
      </c>
      <c r="D12" s="190">
        <v>105.74299814845</v>
      </c>
      <c r="E12" s="212">
        <v>1.1011999999999999E-2</v>
      </c>
      <c r="F12" s="30"/>
      <c r="G12" s="30"/>
      <c r="H12" s="30"/>
      <c r="I12" s="30"/>
      <c r="J12" s="30"/>
      <c r="K12" s="30"/>
      <c r="L12" s="30"/>
      <c r="M12" s="30"/>
      <c r="N12" s="30"/>
      <c r="O12" s="30"/>
      <c r="P12" s="30"/>
      <c r="Q12" s="30"/>
      <c r="R12" s="30"/>
    </row>
    <row r="13" spans="1:20" outlineLevel="3" x14ac:dyDescent="0.3">
      <c r="A13" s="191" t="s">
        <v>148</v>
      </c>
      <c r="B13" s="190">
        <v>130.29179993904</v>
      </c>
      <c r="C13" s="190">
        <v>111.88357902374</v>
      </c>
      <c r="D13" s="190">
        <v>5804.5648331829898</v>
      </c>
      <c r="E13" s="212">
        <v>0.60446</v>
      </c>
      <c r="F13" s="30"/>
      <c r="G13" s="30"/>
      <c r="H13" s="30"/>
      <c r="I13" s="30"/>
      <c r="J13" s="30"/>
      <c r="K13" s="30"/>
      <c r="L13" s="30"/>
      <c r="M13" s="30"/>
      <c r="N13" s="30"/>
      <c r="O13" s="30"/>
      <c r="P13" s="30"/>
      <c r="Q13" s="30"/>
      <c r="R13" s="30"/>
    </row>
    <row r="14" spans="1:20" outlineLevel="3" x14ac:dyDescent="0.3">
      <c r="A14" s="191" t="s">
        <v>149</v>
      </c>
      <c r="B14" s="190">
        <v>9.5218809458300004</v>
      </c>
      <c r="C14" s="190">
        <v>8.1765860918200008</v>
      </c>
      <c r="D14" s="190">
        <v>424.20455707719998</v>
      </c>
      <c r="E14" s="212">
        <v>4.4174999999999999E-2</v>
      </c>
      <c r="F14" s="30"/>
      <c r="G14" s="30"/>
      <c r="H14" s="30"/>
      <c r="I14" s="30"/>
      <c r="J14" s="30"/>
      <c r="K14" s="30"/>
      <c r="L14" s="30"/>
      <c r="M14" s="30"/>
      <c r="N14" s="30"/>
      <c r="O14" s="30"/>
      <c r="P14" s="30"/>
      <c r="Q14" s="30"/>
      <c r="R14" s="30"/>
    </row>
    <row r="15" spans="1:20" outlineLevel="3" x14ac:dyDescent="0.3">
      <c r="A15" s="191" t="s">
        <v>150</v>
      </c>
      <c r="B15" s="190">
        <v>4.4319616504499999</v>
      </c>
      <c r="C15" s="190">
        <v>3.8057938548700001</v>
      </c>
      <c r="D15" s="190">
        <v>197.44610750820999</v>
      </c>
      <c r="E15" s="212">
        <v>2.0560999999999999E-2</v>
      </c>
      <c r="F15" s="30"/>
      <c r="G15" s="30"/>
      <c r="H15" s="30"/>
      <c r="I15" s="30"/>
      <c r="J15" s="30"/>
      <c r="K15" s="30"/>
      <c r="L15" s="30"/>
      <c r="M15" s="30"/>
      <c r="N15" s="30"/>
      <c r="O15" s="30"/>
      <c r="P15" s="30"/>
      <c r="Q15" s="30"/>
      <c r="R15" s="30"/>
    </row>
    <row r="16" spans="1:20" x14ac:dyDescent="0.3">
      <c r="B16" s="29"/>
      <c r="C16" s="29"/>
      <c r="D16" s="29"/>
      <c r="E16" s="67"/>
      <c r="F16" s="30"/>
      <c r="G16" s="30"/>
      <c r="H16" s="30"/>
      <c r="I16" s="30"/>
      <c r="J16" s="30"/>
      <c r="K16" s="30"/>
      <c r="L16" s="30"/>
      <c r="M16" s="30"/>
      <c r="N16" s="30"/>
      <c r="O16" s="30"/>
      <c r="P16" s="30"/>
      <c r="Q16" s="30"/>
      <c r="R16" s="30"/>
    </row>
    <row r="17" spans="2:18" x14ac:dyDescent="0.3">
      <c r="B17" s="29"/>
      <c r="C17" s="29"/>
      <c r="D17" s="29"/>
      <c r="E17" s="67"/>
      <c r="F17" s="30"/>
      <c r="G17" s="30"/>
      <c r="H17" s="30"/>
      <c r="I17" s="30"/>
      <c r="J17" s="30"/>
      <c r="K17" s="30"/>
      <c r="L17" s="30"/>
      <c r="M17" s="30"/>
      <c r="N17" s="30"/>
      <c r="O17" s="30"/>
      <c r="P17" s="30"/>
      <c r="Q17" s="30"/>
      <c r="R17" s="30"/>
    </row>
    <row r="18" spans="2:18" x14ac:dyDescent="0.3">
      <c r="B18" s="29"/>
      <c r="C18" s="29"/>
      <c r="D18" s="29"/>
      <c r="E18" s="67"/>
      <c r="F18" s="30"/>
      <c r="G18" s="30"/>
      <c r="H18" s="30"/>
      <c r="I18" s="30"/>
      <c r="J18" s="30"/>
      <c r="K18" s="30"/>
      <c r="L18" s="30"/>
      <c r="M18" s="30"/>
      <c r="N18" s="30"/>
      <c r="O18" s="30"/>
      <c r="P18" s="30"/>
      <c r="Q18" s="30"/>
      <c r="R18" s="30"/>
    </row>
    <row r="19" spans="2:18" x14ac:dyDescent="0.3">
      <c r="B19" s="29"/>
      <c r="C19" s="29"/>
      <c r="D19" s="29"/>
      <c r="E19" s="67"/>
      <c r="F19" s="30"/>
      <c r="G19" s="30"/>
      <c r="H19" s="30"/>
      <c r="I19" s="30"/>
      <c r="J19" s="30"/>
      <c r="K19" s="30"/>
      <c r="L19" s="30"/>
      <c r="M19" s="30"/>
      <c r="N19" s="30"/>
      <c r="O19" s="30"/>
      <c r="P19" s="30"/>
      <c r="Q19" s="30"/>
      <c r="R19" s="30"/>
    </row>
    <row r="20" spans="2:18" x14ac:dyDescent="0.3">
      <c r="B20" s="29"/>
      <c r="C20" s="29"/>
      <c r="D20" s="29"/>
      <c r="E20" s="67"/>
      <c r="F20" s="30"/>
      <c r="G20" s="30"/>
      <c r="H20" s="30"/>
      <c r="I20" s="30"/>
      <c r="J20" s="30"/>
      <c r="K20" s="30"/>
      <c r="L20" s="30"/>
      <c r="M20" s="30"/>
      <c r="N20" s="30"/>
      <c r="O20" s="30"/>
      <c r="P20" s="30"/>
      <c r="Q20" s="30"/>
      <c r="R20" s="30"/>
    </row>
    <row r="21" spans="2:18" x14ac:dyDescent="0.3">
      <c r="B21" s="29"/>
      <c r="C21" s="29"/>
      <c r="D21" s="29"/>
      <c r="E21" s="67"/>
      <c r="F21" s="30"/>
      <c r="G21" s="30"/>
      <c r="H21" s="30"/>
      <c r="I21" s="30"/>
      <c r="J21" s="30"/>
      <c r="K21" s="30"/>
      <c r="L21" s="30"/>
      <c r="M21" s="30"/>
      <c r="N21" s="30"/>
      <c r="O21" s="30"/>
      <c r="P21" s="30"/>
      <c r="Q21" s="30"/>
      <c r="R21" s="30"/>
    </row>
    <row r="22" spans="2:18" x14ac:dyDescent="0.3">
      <c r="B22" s="29"/>
      <c r="C22" s="29"/>
      <c r="D22" s="29"/>
      <c r="E22" s="67"/>
      <c r="F22" s="30"/>
      <c r="G22" s="30"/>
      <c r="H22" s="30"/>
      <c r="I22" s="30"/>
      <c r="J22" s="30"/>
      <c r="K22" s="30"/>
      <c r="L22" s="30"/>
      <c r="M22" s="30"/>
      <c r="N22" s="30"/>
      <c r="O22" s="30"/>
      <c r="P22" s="30"/>
      <c r="Q22" s="30"/>
      <c r="R22" s="30"/>
    </row>
    <row r="23" spans="2:18" x14ac:dyDescent="0.3">
      <c r="B23" s="29"/>
      <c r="C23" s="29"/>
      <c r="D23" s="29"/>
      <c r="E23" s="67"/>
      <c r="F23" s="30"/>
      <c r="G23" s="30"/>
      <c r="H23" s="30"/>
      <c r="I23" s="30"/>
      <c r="J23" s="30"/>
      <c r="K23" s="30"/>
      <c r="L23" s="30"/>
      <c r="M23" s="30"/>
      <c r="N23" s="30"/>
      <c r="O23" s="30"/>
      <c r="P23" s="30"/>
      <c r="Q23" s="30"/>
      <c r="R23" s="30"/>
    </row>
    <row r="24" spans="2:18" x14ac:dyDescent="0.3">
      <c r="B24" s="29"/>
      <c r="C24" s="29"/>
      <c r="D24" s="29"/>
      <c r="E24" s="67"/>
      <c r="F24" s="30"/>
      <c r="G24" s="30"/>
      <c r="H24" s="30"/>
      <c r="I24" s="30"/>
      <c r="J24" s="30"/>
      <c r="K24" s="30"/>
      <c r="L24" s="30"/>
      <c r="M24" s="30"/>
      <c r="N24" s="30"/>
      <c r="O24" s="30"/>
      <c r="P24" s="30"/>
      <c r="Q24" s="30"/>
      <c r="R24" s="30"/>
    </row>
    <row r="25" spans="2:18" x14ac:dyDescent="0.3">
      <c r="B25" s="29"/>
      <c r="C25" s="29"/>
      <c r="D25" s="29"/>
      <c r="E25" s="67"/>
      <c r="F25" s="30"/>
      <c r="G25" s="30"/>
      <c r="H25" s="30"/>
      <c r="I25" s="30"/>
      <c r="J25" s="30"/>
      <c r="K25" s="30"/>
      <c r="L25" s="30"/>
      <c r="M25" s="30"/>
      <c r="N25" s="30"/>
      <c r="O25" s="30"/>
      <c r="P25" s="30"/>
      <c r="Q25" s="30"/>
      <c r="R25" s="30"/>
    </row>
    <row r="26" spans="2:18" x14ac:dyDescent="0.3">
      <c r="B26" s="29"/>
      <c r="C26" s="29"/>
      <c r="D26" s="29"/>
      <c r="E26" s="67"/>
      <c r="F26" s="30"/>
      <c r="G26" s="30"/>
      <c r="H26" s="30"/>
      <c r="I26" s="30"/>
      <c r="J26" s="30"/>
      <c r="K26" s="30"/>
      <c r="L26" s="30"/>
      <c r="M26" s="30"/>
      <c r="N26" s="30"/>
      <c r="O26" s="30"/>
      <c r="P26" s="30"/>
      <c r="Q26" s="30"/>
      <c r="R26" s="30"/>
    </row>
    <row r="27" spans="2:18" x14ac:dyDescent="0.3">
      <c r="B27" s="29"/>
      <c r="C27" s="29"/>
      <c r="D27" s="29"/>
      <c r="E27" s="67"/>
      <c r="F27" s="30"/>
      <c r="G27" s="30"/>
      <c r="H27" s="30"/>
      <c r="I27" s="30"/>
      <c r="J27" s="30"/>
      <c r="K27" s="30"/>
      <c r="L27" s="30"/>
      <c r="M27" s="30"/>
      <c r="N27" s="30"/>
      <c r="O27" s="30"/>
      <c r="P27" s="30"/>
      <c r="Q27" s="30"/>
      <c r="R27" s="30"/>
    </row>
    <row r="28" spans="2:18" x14ac:dyDescent="0.3">
      <c r="B28" s="29"/>
      <c r="C28" s="29"/>
      <c r="D28" s="29"/>
      <c r="E28" s="67"/>
      <c r="F28" s="30"/>
      <c r="G28" s="30"/>
      <c r="H28" s="30"/>
      <c r="I28" s="30"/>
      <c r="J28" s="30"/>
      <c r="K28" s="30"/>
      <c r="L28" s="30"/>
      <c r="M28" s="30"/>
      <c r="N28" s="30"/>
      <c r="O28" s="30"/>
      <c r="P28" s="30"/>
      <c r="Q28" s="30"/>
      <c r="R28" s="30"/>
    </row>
    <row r="29" spans="2:18" x14ac:dyDescent="0.3">
      <c r="B29" s="29"/>
      <c r="C29" s="29"/>
      <c r="D29" s="29"/>
      <c r="E29" s="67"/>
      <c r="F29" s="30"/>
      <c r="G29" s="30"/>
      <c r="H29" s="30"/>
      <c r="I29" s="30"/>
      <c r="J29" s="30"/>
      <c r="K29" s="30"/>
      <c r="L29" s="30"/>
      <c r="M29" s="30"/>
      <c r="N29" s="30"/>
      <c r="O29" s="30"/>
      <c r="P29" s="30"/>
      <c r="Q29" s="30"/>
      <c r="R29" s="30"/>
    </row>
    <row r="30" spans="2:18" x14ac:dyDescent="0.3">
      <c r="B30" s="29"/>
      <c r="C30" s="29"/>
      <c r="D30" s="29"/>
      <c r="E30" s="67"/>
      <c r="F30" s="30"/>
      <c r="G30" s="30"/>
      <c r="H30" s="30"/>
      <c r="I30" s="30"/>
      <c r="J30" s="30"/>
      <c r="K30" s="30"/>
      <c r="L30" s="30"/>
      <c r="M30" s="30"/>
      <c r="N30" s="30"/>
      <c r="O30" s="30"/>
      <c r="P30" s="30"/>
      <c r="Q30" s="30"/>
      <c r="R30" s="30"/>
    </row>
    <row r="31" spans="2:18" x14ac:dyDescent="0.3">
      <c r="B31" s="29"/>
      <c r="C31" s="29"/>
      <c r="D31" s="29"/>
      <c r="E31" s="67"/>
      <c r="F31" s="30"/>
      <c r="G31" s="30"/>
      <c r="H31" s="30"/>
      <c r="I31" s="30"/>
      <c r="J31" s="30"/>
      <c r="K31" s="30"/>
      <c r="L31" s="30"/>
      <c r="M31" s="30"/>
      <c r="N31" s="30"/>
      <c r="O31" s="30"/>
      <c r="P31" s="30"/>
      <c r="Q31" s="30"/>
      <c r="R31" s="30"/>
    </row>
    <row r="32" spans="2: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row r="175" spans="2:18" x14ac:dyDescent="0.3">
      <c r="B175" s="29"/>
      <c r="C175" s="29"/>
      <c r="D175" s="29"/>
      <c r="E175" s="67"/>
      <c r="F175" s="30"/>
      <c r="G175" s="30"/>
      <c r="H175" s="30"/>
      <c r="I175" s="30"/>
      <c r="J175" s="30"/>
      <c r="K175" s="30"/>
      <c r="L175" s="30"/>
      <c r="M175" s="30"/>
      <c r="N175" s="30"/>
      <c r="O175" s="30"/>
      <c r="P175" s="30"/>
      <c r="Q175" s="30"/>
      <c r="R175" s="30"/>
    </row>
    <row r="176" spans="2:18" x14ac:dyDescent="0.3">
      <c r="B176" s="29"/>
      <c r="C176" s="29"/>
      <c r="D176" s="29"/>
      <c r="E176" s="67"/>
      <c r="F176" s="30"/>
      <c r="G176" s="30"/>
      <c r="H176" s="30"/>
      <c r="I176" s="30"/>
      <c r="J176" s="30"/>
      <c r="K176" s="30"/>
      <c r="L176" s="30"/>
      <c r="M176" s="30"/>
      <c r="N176" s="30"/>
      <c r="O176" s="30"/>
      <c r="P176" s="30"/>
      <c r="Q176" s="30"/>
      <c r="R176" s="30"/>
    </row>
    <row r="177" spans="2:18" x14ac:dyDescent="0.3">
      <c r="B177" s="29"/>
      <c r="C177" s="29"/>
      <c r="D177" s="29"/>
      <c r="E177" s="67"/>
      <c r="F177" s="30"/>
      <c r="G177" s="30"/>
      <c r="H177" s="30"/>
      <c r="I177" s="30"/>
      <c r="J177" s="30"/>
      <c r="K177" s="30"/>
      <c r="L177" s="30"/>
      <c r="M177" s="30"/>
      <c r="N177" s="30"/>
      <c r="O177" s="30"/>
      <c r="P177" s="30"/>
      <c r="Q177" s="30"/>
      <c r="R177" s="30"/>
    </row>
    <row r="178" spans="2:18" x14ac:dyDescent="0.3">
      <c r="B178" s="29"/>
      <c r="C178" s="29"/>
      <c r="D178" s="29"/>
      <c r="E178" s="67"/>
      <c r="F178" s="30"/>
      <c r="G178" s="30"/>
      <c r="H178" s="30"/>
      <c r="I178" s="30"/>
      <c r="J178" s="30"/>
      <c r="K178" s="30"/>
      <c r="L178" s="30"/>
      <c r="M178" s="30"/>
      <c r="N178" s="30"/>
      <c r="O178" s="30"/>
      <c r="P178" s="30"/>
      <c r="Q178" s="30"/>
      <c r="R178" s="30"/>
    </row>
    <row r="179" spans="2:18" x14ac:dyDescent="0.3">
      <c r="B179" s="29"/>
      <c r="C179" s="29"/>
      <c r="D179" s="29"/>
      <c r="E179" s="67"/>
      <c r="F179" s="30"/>
      <c r="G179" s="30"/>
      <c r="H179" s="30"/>
      <c r="I179" s="30"/>
      <c r="J179" s="30"/>
      <c r="K179" s="30"/>
      <c r="L179" s="30"/>
      <c r="M179" s="30"/>
      <c r="N179" s="30"/>
      <c r="O179" s="30"/>
      <c r="P179" s="30"/>
      <c r="Q179" s="30"/>
      <c r="R179" s="30"/>
    </row>
    <row r="180" spans="2:18" x14ac:dyDescent="0.3">
      <c r="B180" s="29"/>
      <c r="C180" s="29"/>
      <c r="D180" s="29"/>
      <c r="E180" s="67"/>
      <c r="F180" s="30"/>
      <c r="G180" s="30"/>
      <c r="H180" s="30"/>
      <c r="I180" s="30"/>
      <c r="J180" s="30"/>
      <c r="K180" s="30"/>
      <c r="L180" s="30"/>
      <c r="M180" s="30"/>
      <c r="N180" s="30"/>
      <c r="O180" s="30"/>
      <c r="P180" s="30"/>
      <c r="Q180" s="30"/>
      <c r="R180" s="30"/>
    </row>
    <row r="181" spans="2:18" x14ac:dyDescent="0.3">
      <c r="B181" s="29"/>
      <c r="C181" s="29"/>
      <c r="D181" s="29"/>
      <c r="E181" s="67"/>
      <c r="F181" s="30"/>
      <c r="G181" s="30"/>
      <c r="H181" s="30"/>
      <c r="I181" s="30"/>
      <c r="J181" s="30"/>
      <c r="K181" s="30"/>
      <c r="L181" s="30"/>
      <c r="M181" s="30"/>
      <c r="N181" s="30"/>
      <c r="O181" s="30"/>
      <c r="P181" s="30"/>
      <c r="Q181" s="30"/>
      <c r="R181" s="30"/>
    </row>
    <row r="182" spans="2:18" x14ac:dyDescent="0.3">
      <c r="B182" s="29"/>
      <c r="C182" s="29"/>
      <c r="D182" s="29"/>
      <c r="E182" s="67"/>
      <c r="F182" s="30"/>
      <c r="G182" s="30"/>
      <c r="H182" s="30"/>
      <c r="I182" s="30"/>
      <c r="J182" s="30"/>
      <c r="K182" s="30"/>
      <c r="L182" s="30"/>
      <c r="M182" s="30"/>
      <c r="N182" s="30"/>
      <c r="O182" s="30"/>
      <c r="P182" s="30"/>
      <c r="Q182" s="30"/>
      <c r="R182" s="30"/>
    </row>
    <row r="183" spans="2:18" x14ac:dyDescent="0.3">
      <c r="B183" s="29"/>
      <c r="C183" s="29"/>
      <c r="D183" s="29"/>
      <c r="E183" s="67"/>
      <c r="F183" s="30"/>
      <c r="G183" s="30"/>
      <c r="H183" s="30"/>
      <c r="I183" s="30"/>
      <c r="J183" s="30"/>
      <c r="K183" s="30"/>
      <c r="L183" s="30"/>
      <c r="M183" s="30"/>
      <c r="N183" s="30"/>
      <c r="O183" s="30"/>
      <c r="P183" s="30"/>
      <c r="Q183" s="30"/>
      <c r="R183" s="30"/>
    </row>
  </sheetData>
  <mergeCells count="2">
    <mergeCell ref="A2:E2"/>
    <mergeCell ref="A3:E3"/>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5">
    <tabColor indexed="20"/>
  </sheetPr>
  <dimension ref="A3:T174"/>
  <sheetViews>
    <sheetView workbookViewId="0">
      <selection activeCell="C8" sqref="C8"/>
    </sheetView>
  </sheetViews>
  <sheetFormatPr defaultColWidth="9.109375" defaultRowHeight="13.8" outlineLevelRow="3" x14ac:dyDescent="0.3"/>
  <cols>
    <col min="1" max="1" width="81.44140625" style="26" customWidth="1"/>
    <col min="2" max="3" width="14.33203125" style="27" customWidth="1"/>
    <col min="4" max="4" width="15.44140625" style="27" customWidth="1"/>
    <col min="5" max="5" width="10.33203125" style="76" customWidth="1"/>
    <col min="6" max="6" width="9.109375" style="26" customWidth="1"/>
    <col min="7" max="16384" width="9.109375" style="26"/>
  </cols>
  <sheetData>
    <row r="3" spans="1:20" ht="33.6" customHeight="1" x14ac:dyDescent="0.35">
      <c r="A3" s="4" t="str">
        <f>DEBT_AS_OF_DATE</f>
        <v>Державний та гарантований державою борг України
станом на 31.08.2026</v>
      </c>
      <c r="B3" s="3"/>
      <c r="C3" s="3"/>
      <c r="D3" s="3"/>
      <c r="E3" s="3"/>
      <c r="F3" s="30"/>
      <c r="G3" s="30"/>
      <c r="H3" s="30"/>
      <c r="I3" s="30"/>
      <c r="J3" s="30"/>
      <c r="K3" s="30"/>
      <c r="L3" s="30"/>
      <c r="M3" s="30"/>
      <c r="N3" s="30"/>
      <c r="O3" s="30"/>
      <c r="P3" s="30"/>
      <c r="Q3" s="30"/>
      <c r="R3" s="30"/>
      <c r="S3" s="30"/>
      <c r="T3" s="30"/>
    </row>
    <row r="4" spans="1:20" ht="18" x14ac:dyDescent="0.35">
      <c r="A4" s="1" t="str">
        <f>BY_CREDITOR_TYPE</f>
        <v>(за типом кредитора)</v>
      </c>
      <c r="B4" s="1"/>
      <c r="C4" s="1"/>
      <c r="D4" s="1"/>
      <c r="E4" s="1"/>
    </row>
    <row r="5" spans="1:20" x14ac:dyDescent="0.3">
      <c r="B5" s="29"/>
      <c r="C5" s="29"/>
      <c r="D5" s="29"/>
      <c r="E5" s="67"/>
      <c r="F5" s="30"/>
      <c r="G5" s="30"/>
      <c r="H5" s="30"/>
      <c r="I5" s="30"/>
      <c r="J5" s="30"/>
      <c r="K5" s="30"/>
      <c r="L5" s="30"/>
      <c r="M5" s="30"/>
      <c r="N5" s="30"/>
      <c r="O5" s="30"/>
      <c r="P5" s="30"/>
      <c r="Q5" s="30"/>
      <c r="R5" s="30"/>
    </row>
    <row r="6" spans="1:20" s="31" customFormat="1" x14ac:dyDescent="0.3">
      <c r="B6" s="32"/>
      <c r="C6" s="32"/>
      <c r="D6" s="32"/>
      <c r="E6" s="31" t="str">
        <f>VALVAL</f>
        <v>млрд. одиниць</v>
      </c>
    </row>
    <row r="7" spans="1:20" s="18" customFormat="1" x14ac:dyDescent="0.25">
      <c r="A7" s="16"/>
      <c r="B7" s="72" t="str">
        <f>USD</f>
        <v>дол. США</v>
      </c>
      <c r="C7" s="72" t="str">
        <f>EUR</f>
        <v>євро</v>
      </c>
      <c r="D7" s="72" t="str">
        <f>UAH</f>
        <v>грн.</v>
      </c>
      <c r="E7" s="73" t="s">
        <v>0</v>
      </c>
    </row>
    <row r="8" spans="1:20" s="19" customFormat="1" ht="14.4" x14ac:dyDescent="0.25">
      <c r="A8" s="168" t="str">
        <f>DEBT_TOTAL</f>
        <v>Загальна сума державного та гарантованого державою боргу</v>
      </c>
      <c r="B8" s="136">
        <f>B$9+B$17</f>
        <v>215.55073598985001</v>
      </c>
      <c r="C8" s="136">
        <f>C$9+C$17</f>
        <v>185.09674296470001</v>
      </c>
      <c r="D8" s="136">
        <f>D$9+D$17</f>
        <v>9602.8930637009689</v>
      </c>
      <c r="E8" s="137">
        <f>E$9+E$17</f>
        <v>1</v>
      </c>
    </row>
    <row r="9" spans="1:20" s="20" customFormat="1" ht="14.4" outlineLevel="1" x14ac:dyDescent="0.25">
      <c r="A9" s="238" t="s">
        <v>1</v>
      </c>
      <c r="B9" s="239">
        <f>SUM(B$10:B$16)</f>
        <v>209.76376640347002</v>
      </c>
      <c r="C9" s="239">
        <f>SUM(C$10:C$16)</f>
        <v>180.1273828873</v>
      </c>
      <c r="D9" s="239">
        <f>SUM(D$10:D$16)</f>
        <v>9345.080675142719</v>
      </c>
      <c r="E9" s="240">
        <f>SUM(E$10:E$16)</f>
        <v>0.97315300000000005</v>
      </c>
    </row>
    <row r="10" spans="1:20" s="21" customFormat="1" outlineLevel="3" x14ac:dyDescent="0.25">
      <c r="A10" s="186" t="s">
        <v>143</v>
      </c>
      <c r="B10" s="234">
        <v>44.940207709740001</v>
      </c>
      <c r="C10" s="234">
        <v>38.590849792260002</v>
      </c>
      <c r="D10" s="234">
        <v>2002.1087235605</v>
      </c>
      <c r="E10" s="235">
        <v>0.20849000000000001</v>
      </c>
    </row>
    <row r="11" spans="1:20" s="22" customFormat="1" outlineLevel="3" x14ac:dyDescent="0.25">
      <c r="A11" s="237" t="s">
        <v>144</v>
      </c>
      <c r="B11" s="187">
        <v>2.8201680430000001E-2</v>
      </c>
      <c r="C11" s="187">
        <v>2.421721814E-2</v>
      </c>
      <c r="D11" s="187">
        <v>1.25639896406</v>
      </c>
      <c r="E11" s="236">
        <v>1.3100000000000001E-4</v>
      </c>
    </row>
    <row r="12" spans="1:20" outlineLevel="3" x14ac:dyDescent="0.3">
      <c r="A12" s="191" t="s">
        <v>146</v>
      </c>
      <c r="B12" s="190">
        <v>21.750640004000001</v>
      </c>
      <c r="C12" s="190">
        <v>18.677610186100001</v>
      </c>
      <c r="D12" s="190">
        <v>969.00188749820995</v>
      </c>
      <c r="E12" s="212">
        <v>0.100907</v>
      </c>
      <c r="F12" s="30"/>
      <c r="G12" s="30"/>
      <c r="H12" s="30"/>
      <c r="I12" s="30"/>
      <c r="J12" s="30"/>
      <c r="K12" s="30"/>
      <c r="L12" s="30"/>
      <c r="M12" s="30"/>
      <c r="N12" s="30"/>
      <c r="O12" s="30"/>
      <c r="P12" s="30"/>
      <c r="Q12" s="30"/>
      <c r="R12" s="30"/>
    </row>
    <row r="13" spans="1:20" outlineLevel="3" x14ac:dyDescent="0.3">
      <c r="A13" s="191" t="s">
        <v>147</v>
      </c>
      <c r="B13" s="190">
        <v>2.21710125811</v>
      </c>
      <c r="C13" s="190">
        <v>1.9038590604300001</v>
      </c>
      <c r="D13" s="190">
        <v>98.772969598670002</v>
      </c>
      <c r="E13" s="212">
        <v>1.0286E-2</v>
      </c>
      <c r="F13" s="30"/>
      <c r="G13" s="30"/>
      <c r="H13" s="30"/>
      <c r="I13" s="30"/>
      <c r="J13" s="30"/>
      <c r="K13" s="30"/>
      <c r="L13" s="30"/>
      <c r="M13" s="30"/>
      <c r="N13" s="30"/>
      <c r="O13" s="30"/>
      <c r="P13" s="30"/>
      <c r="Q13" s="30"/>
      <c r="R13" s="30"/>
    </row>
    <row r="14" spans="1:20" outlineLevel="3" x14ac:dyDescent="0.3">
      <c r="A14" s="191" t="s">
        <v>148</v>
      </c>
      <c r="B14" s="190">
        <v>127.84683503487</v>
      </c>
      <c r="C14" s="190">
        <v>109.78404993445</v>
      </c>
      <c r="D14" s="190">
        <v>5695.6404242189501</v>
      </c>
      <c r="E14" s="212">
        <v>0.59311700000000001</v>
      </c>
      <c r="F14" s="30"/>
      <c r="G14" s="30"/>
      <c r="H14" s="30"/>
      <c r="I14" s="30"/>
      <c r="J14" s="30"/>
      <c r="K14" s="30"/>
      <c r="L14" s="30"/>
      <c r="M14" s="30"/>
      <c r="N14" s="30"/>
      <c r="O14" s="30"/>
      <c r="P14" s="30"/>
      <c r="Q14" s="30"/>
      <c r="R14" s="30"/>
    </row>
    <row r="15" spans="1:20" outlineLevel="3" x14ac:dyDescent="0.3">
      <c r="A15" s="191" t="s">
        <v>149</v>
      </c>
      <c r="B15" s="190">
        <v>8.6603050454799995</v>
      </c>
      <c r="C15" s="190">
        <v>7.4367375719800002</v>
      </c>
      <c r="D15" s="190">
        <v>385.82091992867998</v>
      </c>
      <c r="E15" s="212">
        <v>4.0177999999999998E-2</v>
      </c>
      <c r="F15" s="30"/>
      <c r="G15" s="30"/>
      <c r="H15" s="30"/>
      <c r="I15" s="30"/>
      <c r="J15" s="30"/>
      <c r="K15" s="30"/>
      <c r="L15" s="30"/>
      <c r="M15" s="30"/>
      <c r="N15" s="30"/>
      <c r="O15" s="30"/>
      <c r="P15" s="30"/>
      <c r="Q15" s="30"/>
      <c r="R15" s="30"/>
    </row>
    <row r="16" spans="1:20" outlineLevel="3" x14ac:dyDescent="0.3">
      <c r="A16" s="191" t="s">
        <v>150</v>
      </c>
      <c r="B16" s="190">
        <v>4.3204756708399996</v>
      </c>
      <c r="C16" s="190">
        <v>3.7100591239399998</v>
      </c>
      <c r="D16" s="190">
        <v>192.47935137364999</v>
      </c>
      <c r="E16" s="212">
        <v>2.0043999999999999E-2</v>
      </c>
      <c r="F16" s="30"/>
      <c r="G16" s="30"/>
      <c r="H16" s="30"/>
      <c r="I16" s="30"/>
      <c r="J16" s="30"/>
      <c r="K16" s="30"/>
      <c r="L16" s="30"/>
      <c r="M16" s="30"/>
      <c r="N16" s="30"/>
      <c r="O16" s="30"/>
      <c r="P16" s="30"/>
      <c r="Q16" s="30"/>
      <c r="R16" s="30"/>
    </row>
    <row r="17" spans="1:18" ht="14.4" outlineLevel="1" x14ac:dyDescent="0.3">
      <c r="A17" s="241" t="s">
        <v>2</v>
      </c>
      <c r="B17" s="242">
        <f>SUM(B$18:B$25)</f>
        <v>5.7869695863800006</v>
      </c>
      <c r="C17" s="242">
        <f>SUM(C$18:C$25)</f>
        <v>4.9693600773999993</v>
      </c>
      <c r="D17" s="242">
        <f>SUM(D$18:D$25)</f>
        <v>257.81238855825001</v>
      </c>
      <c r="E17" s="243">
        <f>SUM(E$18:E$25)</f>
        <v>2.6846999999999999E-2</v>
      </c>
      <c r="F17" s="30"/>
      <c r="G17" s="30"/>
      <c r="H17" s="30"/>
      <c r="I17" s="30"/>
      <c r="J17" s="30"/>
      <c r="K17" s="30"/>
      <c r="L17" s="30"/>
      <c r="M17" s="30"/>
      <c r="N17" s="30"/>
      <c r="O17" s="30"/>
      <c r="P17" s="30"/>
      <c r="Q17" s="30"/>
      <c r="R17" s="30"/>
    </row>
    <row r="18" spans="1:18" outlineLevel="3" x14ac:dyDescent="0.3">
      <c r="A18" s="191" t="s">
        <v>143</v>
      </c>
      <c r="B18" s="190">
        <v>5.5555192420000003E-2</v>
      </c>
      <c r="C18" s="190">
        <v>4.7706100949999997E-2</v>
      </c>
      <c r="D18" s="190">
        <v>2.4750116000000002</v>
      </c>
      <c r="E18" s="212">
        <v>2.5799999999999998E-4</v>
      </c>
      <c r="F18" s="30"/>
      <c r="G18" s="30"/>
      <c r="H18" s="30"/>
      <c r="I18" s="30"/>
      <c r="J18" s="30"/>
      <c r="K18" s="30"/>
      <c r="L18" s="30"/>
      <c r="M18" s="30"/>
      <c r="N18" s="30"/>
      <c r="O18" s="30"/>
      <c r="P18" s="30"/>
      <c r="Q18" s="30"/>
      <c r="R18" s="30"/>
    </row>
    <row r="19" spans="1:18" outlineLevel="3" x14ac:dyDescent="0.3">
      <c r="A19" s="191" t="s">
        <v>144</v>
      </c>
      <c r="B19" s="190">
        <v>1.33191387329</v>
      </c>
      <c r="C19" s="190">
        <v>1.1437349945699999</v>
      </c>
      <c r="D19" s="190">
        <v>59.337429011349997</v>
      </c>
      <c r="E19" s="212">
        <v>6.1789999999999996E-3</v>
      </c>
      <c r="F19" s="30"/>
      <c r="G19" s="30"/>
      <c r="H19" s="30"/>
      <c r="I19" s="30"/>
      <c r="J19" s="30"/>
      <c r="K19" s="30"/>
      <c r="L19" s="30"/>
      <c r="M19" s="30"/>
      <c r="N19" s="30"/>
      <c r="O19" s="30"/>
      <c r="P19" s="30"/>
      <c r="Q19" s="30"/>
      <c r="R19" s="30"/>
    </row>
    <row r="20" spans="1:18" outlineLevel="3" x14ac:dyDescent="0.3">
      <c r="A20" s="191" t="s">
        <v>145</v>
      </c>
      <c r="B20" s="190">
        <v>2.1428489999999999E-5</v>
      </c>
      <c r="C20" s="190">
        <v>1.8400980000000001E-5</v>
      </c>
      <c r="D20" s="190">
        <v>9.5465000000000003E-4</v>
      </c>
      <c r="E20" s="212">
        <v>0</v>
      </c>
      <c r="F20" s="30"/>
      <c r="G20" s="30"/>
      <c r="H20" s="30"/>
      <c r="I20" s="30"/>
      <c r="J20" s="30"/>
      <c r="K20" s="30"/>
      <c r="L20" s="30"/>
      <c r="M20" s="30"/>
      <c r="N20" s="30"/>
      <c r="O20" s="30"/>
      <c r="P20" s="30"/>
      <c r="Q20" s="30"/>
      <c r="R20" s="30"/>
    </row>
    <row r="21" spans="1:18" outlineLevel="3" x14ac:dyDescent="0.3">
      <c r="A21" s="191" t="s">
        <v>146</v>
      </c>
      <c r="B21" s="190">
        <v>0.82499999999999996</v>
      </c>
      <c r="C21" s="190">
        <v>0.70844022983999999</v>
      </c>
      <c r="D21" s="190">
        <v>36.7541625</v>
      </c>
      <c r="E21" s="212">
        <v>3.8270000000000001E-3</v>
      </c>
      <c r="F21" s="30"/>
      <c r="G21" s="30"/>
      <c r="H21" s="30"/>
      <c r="I21" s="30"/>
      <c r="J21" s="30"/>
      <c r="K21" s="30"/>
      <c r="L21" s="30"/>
      <c r="M21" s="30"/>
      <c r="N21" s="30"/>
      <c r="O21" s="30"/>
      <c r="P21" s="30"/>
      <c r="Q21" s="30"/>
      <c r="R21" s="30"/>
    </row>
    <row r="22" spans="1:18" outlineLevel="3" x14ac:dyDescent="0.3">
      <c r="A22" s="191" t="s">
        <v>147</v>
      </c>
      <c r="B22" s="190">
        <v>0.15645230804999999</v>
      </c>
      <c r="C22" s="190">
        <v>0.13434801099999999</v>
      </c>
      <c r="D22" s="190">
        <v>6.9700285497800003</v>
      </c>
      <c r="E22" s="212">
        <v>7.2599999999999997E-4</v>
      </c>
      <c r="F22" s="30"/>
      <c r="G22" s="30"/>
      <c r="H22" s="30"/>
      <c r="I22" s="30"/>
      <c r="J22" s="30"/>
      <c r="K22" s="30"/>
      <c r="L22" s="30"/>
      <c r="M22" s="30"/>
      <c r="N22" s="30"/>
      <c r="O22" s="30"/>
      <c r="P22" s="30"/>
      <c r="Q22" s="30"/>
      <c r="R22" s="30"/>
    </row>
    <row r="23" spans="1:18" outlineLevel="3" x14ac:dyDescent="0.3">
      <c r="A23" s="191" t="s">
        <v>148</v>
      </c>
      <c r="B23" s="190">
        <v>2.4449649041699999</v>
      </c>
      <c r="C23" s="190">
        <v>2.0995290892899998</v>
      </c>
      <c r="D23" s="190">
        <v>108.92440896404</v>
      </c>
      <c r="E23" s="212">
        <v>1.1343000000000001E-2</v>
      </c>
      <c r="F23" s="30"/>
      <c r="G23" s="30"/>
      <c r="H23" s="30"/>
      <c r="I23" s="30"/>
      <c r="J23" s="30"/>
      <c r="K23" s="30"/>
      <c r="L23" s="30"/>
      <c r="M23" s="30"/>
      <c r="N23" s="30"/>
      <c r="O23" s="30"/>
      <c r="P23" s="30"/>
      <c r="Q23" s="30"/>
      <c r="R23" s="30"/>
    </row>
    <row r="24" spans="1:18" outlineLevel="3" x14ac:dyDescent="0.3">
      <c r="A24" s="191" t="s">
        <v>149</v>
      </c>
      <c r="B24" s="190">
        <v>0.86157590034999998</v>
      </c>
      <c r="C24" s="190">
        <v>0.73984851984</v>
      </c>
      <c r="D24" s="190">
        <v>38.383637148520002</v>
      </c>
      <c r="E24" s="212">
        <v>3.9969999999999997E-3</v>
      </c>
      <c r="F24" s="30"/>
      <c r="G24" s="30"/>
      <c r="H24" s="30"/>
      <c r="I24" s="30"/>
      <c r="J24" s="30"/>
      <c r="K24" s="30"/>
      <c r="L24" s="30"/>
      <c r="M24" s="30"/>
      <c r="N24" s="30"/>
      <c r="O24" s="30"/>
      <c r="P24" s="30"/>
      <c r="Q24" s="30"/>
      <c r="R24" s="30"/>
    </row>
    <row r="25" spans="1:18" outlineLevel="3" x14ac:dyDescent="0.3">
      <c r="A25" s="191" t="s">
        <v>150</v>
      </c>
      <c r="B25" s="190">
        <v>0.11148597960999999</v>
      </c>
      <c r="C25" s="190">
        <v>9.5734730929999998E-2</v>
      </c>
      <c r="D25" s="190">
        <v>4.9667561345599998</v>
      </c>
      <c r="E25" s="212">
        <v>5.1699999999999999E-4</v>
      </c>
      <c r="F25" s="30"/>
      <c r="G25" s="30"/>
      <c r="H25" s="30"/>
      <c r="I25" s="30"/>
      <c r="J25" s="30"/>
      <c r="K25" s="30"/>
      <c r="L25" s="30"/>
      <c r="M25" s="30"/>
      <c r="N25" s="30"/>
      <c r="O25" s="30"/>
      <c r="P25" s="30"/>
      <c r="Q25" s="30"/>
      <c r="R25" s="30"/>
    </row>
    <row r="26" spans="1:18" x14ac:dyDescent="0.3">
      <c r="B26" s="29"/>
      <c r="C26" s="29"/>
      <c r="D26" s="29"/>
      <c r="E26" s="67"/>
      <c r="F26" s="30"/>
      <c r="G26" s="30"/>
      <c r="H26" s="30"/>
      <c r="I26" s="30"/>
      <c r="J26" s="30"/>
      <c r="K26" s="30"/>
      <c r="L26" s="30"/>
      <c r="M26" s="30"/>
      <c r="N26" s="30"/>
      <c r="O26" s="30"/>
      <c r="P26" s="30"/>
      <c r="Q26" s="30"/>
      <c r="R26" s="30"/>
    </row>
    <row r="27" spans="1:18" x14ac:dyDescent="0.3">
      <c r="B27" s="29"/>
      <c r="C27" s="29"/>
      <c r="D27" s="29"/>
      <c r="E27" s="67"/>
      <c r="F27" s="30"/>
      <c r="G27" s="30"/>
      <c r="H27" s="30"/>
      <c r="I27" s="30"/>
      <c r="J27" s="30"/>
      <c r="K27" s="30"/>
      <c r="L27" s="30"/>
      <c r="M27" s="30"/>
      <c r="N27" s="30"/>
      <c r="O27" s="30"/>
      <c r="P27" s="30"/>
      <c r="Q27" s="30"/>
      <c r="R27" s="30"/>
    </row>
    <row r="28" spans="1:18" x14ac:dyDescent="0.3">
      <c r="B28" s="29"/>
      <c r="C28" s="29"/>
      <c r="D28" s="29"/>
      <c r="E28" s="67"/>
      <c r="F28" s="30"/>
      <c r="G28" s="30"/>
      <c r="H28" s="30"/>
      <c r="I28" s="30"/>
      <c r="J28" s="30"/>
      <c r="K28" s="30"/>
      <c r="L28" s="30"/>
      <c r="M28" s="30"/>
      <c r="N28" s="30"/>
      <c r="O28" s="30"/>
      <c r="P28" s="30"/>
      <c r="Q28" s="30"/>
      <c r="R28" s="30"/>
    </row>
    <row r="29" spans="1:18" x14ac:dyDescent="0.3">
      <c r="B29" s="29"/>
      <c r="C29" s="29"/>
      <c r="D29" s="29"/>
      <c r="E29" s="67"/>
      <c r="F29" s="30"/>
      <c r="G29" s="30"/>
      <c r="H29" s="30"/>
      <c r="I29" s="30"/>
      <c r="J29" s="30"/>
      <c r="K29" s="30"/>
      <c r="L29" s="30"/>
      <c r="M29" s="30"/>
      <c r="N29" s="30"/>
      <c r="O29" s="30"/>
      <c r="P29" s="30"/>
      <c r="Q29" s="30"/>
      <c r="R29" s="30"/>
    </row>
    <row r="30" spans="1:18" x14ac:dyDescent="0.3">
      <c r="B30" s="29"/>
      <c r="C30" s="29"/>
      <c r="D30" s="29"/>
      <c r="E30" s="67"/>
      <c r="F30" s="30"/>
      <c r="G30" s="30"/>
      <c r="H30" s="30"/>
      <c r="I30" s="30"/>
      <c r="J30" s="30"/>
      <c r="K30" s="30"/>
      <c r="L30" s="30"/>
      <c r="M30" s="30"/>
      <c r="N30" s="30"/>
      <c r="O30" s="30"/>
      <c r="P30" s="30"/>
      <c r="Q30" s="30"/>
      <c r="R30" s="30"/>
    </row>
    <row r="31" spans="1:18" x14ac:dyDescent="0.3">
      <c r="B31" s="29"/>
      <c r="C31" s="29"/>
      <c r="D31" s="29"/>
      <c r="E31" s="67"/>
      <c r="F31" s="30"/>
      <c r="G31" s="30"/>
      <c r="H31" s="30"/>
      <c r="I31" s="30"/>
      <c r="J31" s="30"/>
      <c r="K31" s="30"/>
      <c r="L31" s="30"/>
      <c r="M31" s="30"/>
      <c r="N31" s="30"/>
      <c r="O31" s="30"/>
      <c r="P31" s="30"/>
      <c r="Q31" s="30"/>
      <c r="R31" s="30"/>
    </row>
    <row r="32" spans="1:18" x14ac:dyDescent="0.3">
      <c r="B32" s="29"/>
      <c r="C32" s="29"/>
      <c r="D32" s="29"/>
      <c r="E32" s="67"/>
      <c r="F32" s="30"/>
      <c r="G32" s="30"/>
      <c r="H32" s="30"/>
      <c r="I32" s="30"/>
      <c r="J32" s="30"/>
      <c r="K32" s="30"/>
      <c r="L32" s="30"/>
      <c r="M32" s="30"/>
      <c r="N32" s="30"/>
      <c r="O32" s="30"/>
      <c r="P32" s="30"/>
      <c r="Q32" s="30"/>
      <c r="R32" s="30"/>
    </row>
    <row r="33" spans="2:18" x14ac:dyDescent="0.3">
      <c r="B33" s="29"/>
      <c r="C33" s="29"/>
      <c r="D33" s="29"/>
      <c r="E33" s="67"/>
      <c r="F33" s="30"/>
      <c r="G33" s="30"/>
      <c r="H33" s="30"/>
      <c r="I33" s="30"/>
      <c r="J33" s="30"/>
      <c r="K33" s="30"/>
      <c r="L33" s="30"/>
      <c r="M33" s="30"/>
      <c r="N33" s="30"/>
      <c r="O33" s="30"/>
      <c r="P33" s="30"/>
      <c r="Q33" s="30"/>
      <c r="R33" s="30"/>
    </row>
    <row r="34" spans="2:18" x14ac:dyDescent="0.3">
      <c r="B34" s="29"/>
      <c r="C34" s="29"/>
      <c r="D34" s="29"/>
      <c r="E34" s="67"/>
      <c r="F34" s="30"/>
      <c r="G34" s="30"/>
      <c r="H34" s="30"/>
      <c r="I34" s="30"/>
      <c r="J34" s="30"/>
      <c r="K34" s="30"/>
      <c r="L34" s="30"/>
      <c r="M34" s="30"/>
      <c r="N34" s="30"/>
      <c r="O34" s="30"/>
      <c r="P34" s="30"/>
      <c r="Q34" s="30"/>
      <c r="R34" s="30"/>
    </row>
    <row r="35" spans="2:18" x14ac:dyDescent="0.3">
      <c r="B35" s="29"/>
      <c r="C35" s="29"/>
      <c r="D35" s="29"/>
      <c r="E35" s="67"/>
      <c r="F35" s="30"/>
      <c r="G35" s="30"/>
      <c r="H35" s="30"/>
      <c r="I35" s="30"/>
      <c r="J35" s="30"/>
      <c r="K35" s="30"/>
      <c r="L35" s="30"/>
      <c r="M35" s="30"/>
      <c r="N35" s="30"/>
      <c r="O35" s="30"/>
      <c r="P35" s="30"/>
      <c r="Q35" s="30"/>
      <c r="R35" s="30"/>
    </row>
    <row r="36" spans="2:18" x14ac:dyDescent="0.3">
      <c r="B36" s="29"/>
      <c r="C36" s="29"/>
      <c r="D36" s="29"/>
      <c r="E36" s="67"/>
      <c r="F36" s="30"/>
      <c r="G36" s="30"/>
      <c r="H36" s="30"/>
      <c r="I36" s="30"/>
      <c r="J36" s="30"/>
      <c r="K36" s="30"/>
      <c r="L36" s="30"/>
      <c r="M36" s="30"/>
      <c r="N36" s="30"/>
      <c r="O36" s="30"/>
      <c r="P36" s="30"/>
      <c r="Q36" s="30"/>
      <c r="R36" s="30"/>
    </row>
    <row r="37" spans="2:18" x14ac:dyDescent="0.3">
      <c r="B37" s="29"/>
      <c r="C37" s="29"/>
      <c r="D37" s="29"/>
      <c r="E37" s="67"/>
      <c r="F37" s="30"/>
      <c r="G37" s="30"/>
      <c r="H37" s="30"/>
      <c r="I37" s="30"/>
      <c r="J37" s="30"/>
      <c r="K37" s="30"/>
      <c r="L37" s="30"/>
      <c r="M37" s="30"/>
      <c r="N37" s="30"/>
      <c r="O37" s="30"/>
      <c r="P37" s="30"/>
      <c r="Q37" s="30"/>
      <c r="R37" s="30"/>
    </row>
    <row r="38" spans="2:18" x14ac:dyDescent="0.3">
      <c r="B38" s="29"/>
      <c r="C38" s="29"/>
      <c r="D38" s="29"/>
      <c r="E38" s="67"/>
      <c r="F38" s="30"/>
      <c r="G38" s="30"/>
      <c r="H38" s="30"/>
      <c r="I38" s="30"/>
      <c r="J38" s="30"/>
      <c r="K38" s="30"/>
      <c r="L38" s="30"/>
      <c r="M38" s="30"/>
      <c r="N38" s="30"/>
      <c r="O38" s="30"/>
      <c r="P38" s="30"/>
      <c r="Q38" s="30"/>
      <c r="R38" s="30"/>
    </row>
    <row r="39" spans="2:18" x14ac:dyDescent="0.3">
      <c r="B39" s="29"/>
      <c r="C39" s="29"/>
      <c r="D39" s="29"/>
      <c r="E39" s="67"/>
      <c r="F39" s="30"/>
      <c r="G39" s="30"/>
      <c r="H39" s="30"/>
      <c r="I39" s="30"/>
      <c r="J39" s="30"/>
      <c r="K39" s="30"/>
      <c r="L39" s="30"/>
      <c r="M39" s="30"/>
      <c r="N39" s="30"/>
      <c r="O39" s="30"/>
      <c r="P39" s="30"/>
      <c r="Q39" s="30"/>
      <c r="R39" s="30"/>
    </row>
    <row r="40" spans="2:18" x14ac:dyDescent="0.3">
      <c r="B40" s="29"/>
      <c r="C40" s="29"/>
      <c r="D40" s="29"/>
      <c r="E40" s="67"/>
      <c r="F40" s="30"/>
      <c r="G40" s="30"/>
      <c r="H40" s="30"/>
      <c r="I40" s="30"/>
      <c r="J40" s="30"/>
      <c r="K40" s="30"/>
      <c r="L40" s="30"/>
      <c r="M40" s="30"/>
      <c r="N40" s="30"/>
      <c r="O40" s="30"/>
      <c r="P40" s="30"/>
      <c r="Q40" s="30"/>
      <c r="R40" s="30"/>
    </row>
    <row r="41" spans="2:18" x14ac:dyDescent="0.3">
      <c r="B41" s="29"/>
      <c r="C41" s="29"/>
      <c r="D41" s="29"/>
      <c r="E41" s="67"/>
      <c r="F41" s="30"/>
      <c r="G41" s="30"/>
      <c r="H41" s="30"/>
      <c r="I41" s="30"/>
      <c r="J41" s="30"/>
      <c r="K41" s="30"/>
      <c r="L41" s="30"/>
      <c r="M41" s="30"/>
      <c r="N41" s="30"/>
      <c r="O41" s="30"/>
      <c r="P41" s="30"/>
      <c r="Q41" s="30"/>
      <c r="R41" s="30"/>
    </row>
    <row r="42" spans="2:18" x14ac:dyDescent="0.3">
      <c r="B42" s="29"/>
      <c r="C42" s="29"/>
      <c r="D42" s="29"/>
      <c r="E42" s="67"/>
      <c r="F42" s="30"/>
      <c r="G42" s="30"/>
      <c r="H42" s="30"/>
      <c r="I42" s="30"/>
      <c r="J42" s="30"/>
      <c r="K42" s="30"/>
      <c r="L42" s="30"/>
      <c r="M42" s="30"/>
      <c r="N42" s="30"/>
      <c r="O42" s="30"/>
      <c r="P42" s="30"/>
      <c r="Q42" s="30"/>
      <c r="R42" s="30"/>
    </row>
    <row r="43" spans="2:18" x14ac:dyDescent="0.3">
      <c r="B43" s="29"/>
      <c r="C43" s="29"/>
      <c r="D43" s="29"/>
      <c r="E43" s="67"/>
      <c r="F43" s="30"/>
      <c r="G43" s="30"/>
      <c r="H43" s="30"/>
      <c r="I43" s="30"/>
      <c r="J43" s="30"/>
      <c r="K43" s="30"/>
      <c r="L43" s="30"/>
      <c r="M43" s="30"/>
      <c r="N43" s="30"/>
      <c r="O43" s="30"/>
      <c r="P43" s="30"/>
      <c r="Q43" s="30"/>
      <c r="R43" s="30"/>
    </row>
    <row r="44" spans="2:18" x14ac:dyDescent="0.3">
      <c r="B44" s="29"/>
      <c r="C44" s="29"/>
      <c r="D44" s="29"/>
      <c r="E44" s="67"/>
      <c r="F44" s="30"/>
      <c r="G44" s="30"/>
      <c r="H44" s="30"/>
      <c r="I44" s="30"/>
      <c r="J44" s="30"/>
      <c r="K44" s="30"/>
      <c r="L44" s="30"/>
      <c r="M44" s="30"/>
      <c r="N44" s="30"/>
      <c r="O44" s="30"/>
      <c r="P44" s="30"/>
      <c r="Q44" s="30"/>
      <c r="R44" s="30"/>
    </row>
    <row r="45" spans="2:18" x14ac:dyDescent="0.3">
      <c r="B45" s="29"/>
      <c r="C45" s="29"/>
      <c r="D45" s="29"/>
      <c r="E45" s="67"/>
      <c r="F45" s="30"/>
      <c r="G45" s="30"/>
      <c r="H45" s="30"/>
      <c r="I45" s="30"/>
      <c r="J45" s="30"/>
      <c r="K45" s="30"/>
      <c r="L45" s="30"/>
      <c r="M45" s="30"/>
      <c r="N45" s="30"/>
      <c r="O45" s="30"/>
      <c r="P45" s="30"/>
      <c r="Q45" s="30"/>
      <c r="R45" s="30"/>
    </row>
    <row r="46" spans="2:18" x14ac:dyDescent="0.3">
      <c r="B46" s="29"/>
      <c r="C46" s="29"/>
      <c r="D46" s="29"/>
      <c r="E46" s="67"/>
      <c r="F46" s="30"/>
      <c r="G46" s="30"/>
      <c r="H46" s="30"/>
      <c r="I46" s="30"/>
      <c r="J46" s="30"/>
      <c r="K46" s="30"/>
      <c r="L46" s="30"/>
      <c r="M46" s="30"/>
      <c r="N46" s="30"/>
      <c r="O46" s="30"/>
      <c r="P46" s="30"/>
      <c r="Q46" s="30"/>
      <c r="R46" s="30"/>
    </row>
    <row r="47" spans="2:18" x14ac:dyDescent="0.3">
      <c r="B47" s="29"/>
      <c r="C47" s="29"/>
      <c r="D47" s="29"/>
      <c r="E47" s="67"/>
      <c r="F47" s="30"/>
      <c r="G47" s="30"/>
      <c r="H47" s="30"/>
      <c r="I47" s="30"/>
      <c r="J47" s="30"/>
      <c r="K47" s="30"/>
      <c r="L47" s="30"/>
      <c r="M47" s="30"/>
      <c r="N47" s="30"/>
      <c r="O47" s="30"/>
      <c r="P47" s="30"/>
      <c r="Q47" s="30"/>
      <c r="R47" s="30"/>
    </row>
    <row r="48" spans="2:18" x14ac:dyDescent="0.3">
      <c r="B48" s="29"/>
      <c r="C48" s="29"/>
      <c r="D48" s="29"/>
      <c r="E48" s="67"/>
      <c r="F48" s="30"/>
      <c r="G48" s="30"/>
      <c r="H48" s="30"/>
      <c r="I48" s="30"/>
      <c r="J48" s="30"/>
      <c r="K48" s="30"/>
      <c r="L48" s="30"/>
      <c r="M48" s="30"/>
      <c r="N48" s="30"/>
      <c r="O48" s="30"/>
      <c r="P48" s="30"/>
      <c r="Q48" s="30"/>
      <c r="R48" s="30"/>
    </row>
    <row r="49" spans="2:18" x14ac:dyDescent="0.3">
      <c r="B49" s="29"/>
      <c r="C49" s="29"/>
      <c r="D49" s="29"/>
      <c r="E49" s="67"/>
      <c r="F49" s="30"/>
      <c r="G49" s="30"/>
      <c r="H49" s="30"/>
      <c r="I49" s="30"/>
      <c r="J49" s="30"/>
      <c r="K49" s="30"/>
      <c r="L49" s="30"/>
      <c r="M49" s="30"/>
      <c r="N49" s="30"/>
      <c r="O49" s="30"/>
      <c r="P49" s="30"/>
      <c r="Q49" s="30"/>
      <c r="R49" s="30"/>
    </row>
    <row r="50" spans="2:18" x14ac:dyDescent="0.3">
      <c r="B50" s="29"/>
      <c r="C50" s="29"/>
      <c r="D50" s="29"/>
      <c r="E50" s="67"/>
      <c r="F50" s="30"/>
      <c r="G50" s="30"/>
      <c r="H50" s="30"/>
      <c r="I50" s="30"/>
      <c r="J50" s="30"/>
      <c r="K50" s="30"/>
      <c r="L50" s="30"/>
      <c r="M50" s="30"/>
      <c r="N50" s="30"/>
      <c r="O50" s="30"/>
      <c r="P50" s="30"/>
      <c r="Q50" s="30"/>
      <c r="R50" s="30"/>
    </row>
    <row r="51" spans="2:18" x14ac:dyDescent="0.3">
      <c r="B51" s="29"/>
      <c r="C51" s="29"/>
      <c r="D51" s="29"/>
      <c r="E51" s="67"/>
      <c r="F51" s="30"/>
      <c r="G51" s="30"/>
      <c r="H51" s="30"/>
      <c r="I51" s="30"/>
      <c r="J51" s="30"/>
      <c r="K51" s="30"/>
      <c r="L51" s="30"/>
      <c r="M51" s="30"/>
      <c r="N51" s="30"/>
      <c r="O51" s="30"/>
      <c r="P51" s="30"/>
      <c r="Q51" s="30"/>
      <c r="R51" s="30"/>
    </row>
    <row r="52" spans="2:18" x14ac:dyDescent="0.3">
      <c r="B52" s="29"/>
      <c r="C52" s="29"/>
      <c r="D52" s="29"/>
      <c r="E52" s="67"/>
      <c r="F52" s="30"/>
      <c r="G52" s="30"/>
      <c r="H52" s="30"/>
      <c r="I52" s="30"/>
      <c r="J52" s="30"/>
      <c r="K52" s="30"/>
      <c r="L52" s="30"/>
      <c r="M52" s="30"/>
      <c r="N52" s="30"/>
      <c r="O52" s="30"/>
      <c r="P52" s="30"/>
      <c r="Q52" s="30"/>
      <c r="R52" s="30"/>
    </row>
    <row r="53" spans="2:18" x14ac:dyDescent="0.3">
      <c r="B53" s="29"/>
      <c r="C53" s="29"/>
      <c r="D53" s="29"/>
      <c r="E53" s="67"/>
      <c r="F53" s="30"/>
      <c r="G53" s="30"/>
      <c r="H53" s="30"/>
      <c r="I53" s="30"/>
      <c r="J53" s="30"/>
      <c r="K53" s="30"/>
      <c r="L53" s="30"/>
      <c r="M53" s="30"/>
      <c r="N53" s="30"/>
      <c r="O53" s="30"/>
      <c r="P53" s="30"/>
      <c r="Q53" s="30"/>
      <c r="R53" s="30"/>
    </row>
    <row r="54" spans="2:18" x14ac:dyDescent="0.3">
      <c r="B54" s="29"/>
      <c r="C54" s="29"/>
      <c r="D54" s="29"/>
      <c r="E54" s="67"/>
      <c r="F54" s="30"/>
      <c r="G54" s="30"/>
      <c r="H54" s="30"/>
      <c r="I54" s="30"/>
      <c r="J54" s="30"/>
      <c r="K54" s="30"/>
      <c r="L54" s="30"/>
      <c r="M54" s="30"/>
      <c r="N54" s="30"/>
      <c r="O54" s="30"/>
      <c r="P54" s="30"/>
      <c r="Q54" s="30"/>
      <c r="R54" s="30"/>
    </row>
    <row r="55" spans="2:18" x14ac:dyDescent="0.3">
      <c r="B55" s="29"/>
      <c r="C55" s="29"/>
      <c r="D55" s="29"/>
      <c r="E55" s="67"/>
      <c r="F55" s="30"/>
      <c r="G55" s="30"/>
      <c r="H55" s="30"/>
      <c r="I55" s="30"/>
      <c r="J55" s="30"/>
      <c r="K55" s="30"/>
      <c r="L55" s="30"/>
      <c r="M55" s="30"/>
      <c r="N55" s="30"/>
      <c r="O55" s="30"/>
      <c r="P55" s="30"/>
      <c r="Q55" s="30"/>
      <c r="R55" s="30"/>
    </row>
    <row r="56" spans="2:18" x14ac:dyDescent="0.3">
      <c r="B56" s="29"/>
      <c r="C56" s="29"/>
      <c r="D56" s="29"/>
      <c r="E56" s="67"/>
      <c r="F56" s="30"/>
      <c r="G56" s="30"/>
      <c r="H56" s="30"/>
      <c r="I56" s="30"/>
      <c r="J56" s="30"/>
      <c r="K56" s="30"/>
      <c r="L56" s="30"/>
      <c r="M56" s="30"/>
      <c r="N56" s="30"/>
      <c r="O56" s="30"/>
      <c r="P56" s="30"/>
      <c r="Q56" s="30"/>
      <c r="R56" s="30"/>
    </row>
    <row r="57" spans="2:18" x14ac:dyDescent="0.3">
      <c r="B57" s="29"/>
      <c r="C57" s="29"/>
      <c r="D57" s="29"/>
      <c r="E57" s="67"/>
      <c r="F57" s="30"/>
      <c r="G57" s="30"/>
      <c r="H57" s="30"/>
      <c r="I57" s="30"/>
      <c r="J57" s="30"/>
      <c r="K57" s="30"/>
      <c r="L57" s="30"/>
      <c r="M57" s="30"/>
      <c r="N57" s="30"/>
      <c r="O57" s="30"/>
      <c r="P57" s="30"/>
      <c r="Q57" s="30"/>
      <c r="R57" s="30"/>
    </row>
    <row r="58" spans="2:18" x14ac:dyDescent="0.3">
      <c r="B58" s="29"/>
      <c r="C58" s="29"/>
      <c r="D58" s="29"/>
      <c r="E58" s="67"/>
      <c r="F58" s="30"/>
      <c r="G58" s="30"/>
      <c r="H58" s="30"/>
      <c r="I58" s="30"/>
      <c r="J58" s="30"/>
      <c r="K58" s="30"/>
      <c r="L58" s="30"/>
      <c r="M58" s="30"/>
      <c r="N58" s="30"/>
      <c r="O58" s="30"/>
      <c r="P58" s="30"/>
      <c r="Q58" s="30"/>
      <c r="R58" s="30"/>
    </row>
    <row r="59" spans="2:18" x14ac:dyDescent="0.3">
      <c r="B59" s="29"/>
      <c r="C59" s="29"/>
      <c r="D59" s="29"/>
      <c r="E59" s="67"/>
      <c r="F59" s="30"/>
      <c r="G59" s="30"/>
      <c r="H59" s="30"/>
      <c r="I59" s="30"/>
      <c r="J59" s="30"/>
      <c r="K59" s="30"/>
      <c r="L59" s="30"/>
      <c r="M59" s="30"/>
      <c r="N59" s="30"/>
      <c r="O59" s="30"/>
      <c r="P59" s="30"/>
      <c r="Q59" s="30"/>
      <c r="R59" s="30"/>
    </row>
    <row r="60" spans="2:18" x14ac:dyDescent="0.3">
      <c r="B60" s="29"/>
      <c r="C60" s="29"/>
      <c r="D60" s="29"/>
      <c r="E60" s="67"/>
      <c r="F60" s="30"/>
      <c r="G60" s="30"/>
      <c r="H60" s="30"/>
      <c r="I60" s="30"/>
      <c r="J60" s="30"/>
      <c r="K60" s="30"/>
      <c r="L60" s="30"/>
      <c r="M60" s="30"/>
      <c r="N60" s="30"/>
      <c r="O60" s="30"/>
      <c r="P60" s="30"/>
      <c r="Q60" s="30"/>
      <c r="R60" s="30"/>
    </row>
    <row r="61" spans="2:18" x14ac:dyDescent="0.3">
      <c r="B61" s="29"/>
      <c r="C61" s="29"/>
      <c r="D61" s="29"/>
      <c r="E61" s="67"/>
      <c r="F61" s="30"/>
      <c r="G61" s="30"/>
      <c r="H61" s="30"/>
      <c r="I61" s="30"/>
      <c r="J61" s="30"/>
      <c r="K61" s="30"/>
      <c r="L61" s="30"/>
      <c r="M61" s="30"/>
      <c r="N61" s="30"/>
      <c r="O61" s="30"/>
      <c r="P61" s="30"/>
      <c r="Q61" s="30"/>
      <c r="R61" s="30"/>
    </row>
    <row r="62" spans="2:18" x14ac:dyDescent="0.3">
      <c r="B62" s="29"/>
      <c r="C62" s="29"/>
      <c r="D62" s="29"/>
      <c r="E62" s="67"/>
      <c r="F62" s="30"/>
      <c r="G62" s="30"/>
      <c r="H62" s="30"/>
      <c r="I62" s="30"/>
      <c r="J62" s="30"/>
      <c r="K62" s="30"/>
      <c r="L62" s="30"/>
      <c r="M62" s="30"/>
      <c r="N62" s="30"/>
      <c r="O62" s="30"/>
      <c r="P62" s="30"/>
      <c r="Q62" s="30"/>
      <c r="R62" s="30"/>
    </row>
    <row r="63" spans="2:18" x14ac:dyDescent="0.3">
      <c r="B63" s="29"/>
      <c r="C63" s="29"/>
      <c r="D63" s="29"/>
      <c r="E63" s="67"/>
      <c r="F63" s="30"/>
      <c r="G63" s="30"/>
      <c r="H63" s="30"/>
      <c r="I63" s="30"/>
      <c r="J63" s="30"/>
      <c r="K63" s="30"/>
      <c r="L63" s="30"/>
      <c r="M63" s="30"/>
      <c r="N63" s="30"/>
      <c r="O63" s="30"/>
      <c r="P63" s="30"/>
      <c r="Q63" s="30"/>
      <c r="R63" s="30"/>
    </row>
    <row r="64" spans="2:18" x14ac:dyDescent="0.3">
      <c r="B64" s="29"/>
      <c r="C64" s="29"/>
      <c r="D64" s="29"/>
      <c r="E64" s="67"/>
      <c r="F64" s="30"/>
      <c r="G64" s="30"/>
      <c r="H64" s="30"/>
      <c r="I64" s="30"/>
      <c r="J64" s="30"/>
      <c r="K64" s="30"/>
      <c r="L64" s="30"/>
      <c r="M64" s="30"/>
      <c r="N64" s="30"/>
      <c r="O64" s="30"/>
      <c r="P64" s="30"/>
      <c r="Q64" s="30"/>
      <c r="R64" s="30"/>
    </row>
    <row r="65" spans="2:18" x14ac:dyDescent="0.3">
      <c r="B65" s="29"/>
      <c r="C65" s="29"/>
      <c r="D65" s="29"/>
      <c r="E65" s="67"/>
      <c r="F65" s="30"/>
      <c r="G65" s="30"/>
      <c r="H65" s="30"/>
      <c r="I65" s="30"/>
      <c r="J65" s="30"/>
      <c r="K65" s="30"/>
      <c r="L65" s="30"/>
      <c r="M65" s="30"/>
      <c r="N65" s="30"/>
      <c r="O65" s="30"/>
      <c r="P65" s="30"/>
      <c r="Q65" s="30"/>
      <c r="R65" s="30"/>
    </row>
    <row r="66" spans="2:18" x14ac:dyDescent="0.3">
      <c r="B66" s="29"/>
      <c r="C66" s="29"/>
      <c r="D66" s="29"/>
      <c r="E66" s="67"/>
      <c r="F66" s="30"/>
      <c r="G66" s="30"/>
      <c r="H66" s="30"/>
      <c r="I66" s="30"/>
      <c r="J66" s="30"/>
      <c r="K66" s="30"/>
      <c r="L66" s="30"/>
      <c r="M66" s="30"/>
      <c r="N66" s="30"/>
      <c r="O66" s="30"/>
      <c r="P66" s="30"/>
      <c r="Q66" s="30"/>
      <c r="R66" s="30"/>
    </row>
    <row r="67" spans="2:18" x14ac:dyDescent="0.3">
      <c r="B67" s="29"/>
      <c r="C67" s="29"/>
      <c r="D67" s="29"/>
      <c r="E67" s="67"/>
      <c r="F67" s="30"/>
      <c r="G67" s="30"/>
      <c r="H67" s="30"/>
      <c r="I67" s="30"/>
      <c r="J67" s="30"/>
      <c r="K67" s="30"/>
      <c r="L67" s="30"/>
      <c r="M67" s="30"/>
      <c r="N67" s="30"/>
      <c r="O67" s="30"/>
      <c r="P67" s="30"/>
      <c r="Q67" s="30"/>
      <c r="R67" s="30"/>
    </row>
    <row r="68" spans="2:18" x14ac:dyDescent="0.3">
      <c r="B68" s="29"/>
      <c r="C68" s="29"/>
      <c r="D68" s="29"/>
      <c r="E68" s="67"/>
      <c r="F68" s="30"/>
      <c r="G68" s="30"/>
      <c r="H68" s="30"/>
      <c r="I68" s="30"/>
      <c r="J68" s="30"/>
      <c r="K68" s="30"/>
      <c r="L68" s="30"/>
      <c r="M68" s="30"/>
      <c r="N68" s="30"/>
      <c r="O68" s="30"/>
      <c r="P68" s="30"/>
      <c r="Q68" s="30"/>
      <c r="R68" s="30"/>
    </row>
    <row r="69" spans="2:18" x14ac:dyDescent="0.3">
      <c r="B69" s="29"/>
      <c r="C69" s="29"/>
      <c r="D69" s="29"/>
      <c r="E69" s="67"/>
      <c r="F69" s="30"/>
      <c r="G69" s="30"/>
      <c r="H69" s="30"/>
      <c r="I69" s="30"/>
      <c r="J69" s="30"/>
      <c r="K69" s="30"/>
      <c r="L69" s="30"/>
      <c r="M69" s="30"/>
      <c r="N69" s="30"/>
      <c r="O69" s="30"/>
      <c r="P69" s="30"/>
      <c r="Q69" s="30"/>
      <c r="R69" s="30"/>
    </row>
    <row r="70" spans="2:18" x14ac:dyDescent="0.3">
      <c r="B70" s="29"/>
      <c r="C70" s="29"/>
      <c r="D70" s="29"/>
      <c r="E70" s="67"/>
      <c r="F70" s="30"/>
      <c r="G70" s="30"/>
      <c r="H70" s="30"/>
      <c r="I70" s="30"/>
      <c r="J70" s="30"/>
      <c r="K70" s="30"/>
      <c r="L70" s="30"/>
      <c r="M70" s="30"/>
      <c r="N70" s="30"/>
      <c r="O70" s="30"/>
      <c r="P70" s="30"/>
      <c r="Q70" s="30"/>
      <c r="R70" s="30"/>
    </row>
    <row r="71" spans="2:18" x14ac:dyDescent="0.3">
      <c r="B71" s="29"/>
      <c r="C71" s="29"/>
      <c r="D71" s="29"/>
      <c r="E71" s="67"/>
      <c r="F71" s="30"/>
      <c r="G71" s="30"/>
      <c r="H71" s="30"/>
      <c r="I71" s="30"/>
      <c r="J71" s="30"/>
      <c r="K71" s="30"/>
      <c r="L71" s="30"/>
      <c r="M71" s="30"/>
      <c r="N71" s="30"/>
      <c r="O71" s="30"/>
      <c r="P71" s="30"/>
      <c r="Q71" s="30"/>
      <c r="R71" s="30"/>
    </row>
    <row r="72" spans="2:18" x14ac:dyDescent="0.3">
      <c r="B72" s="29"/>
      <c r="C72" s="29"/>
      <c r="D72" s="29"/>
      <c r="E72" s="67"/>
      <c r="F72" s="30"/>
      <c r="G72" s="30"/>
      <c r="H72" s="30"/>
      <c r="I72" s="30"/>
      <c r="J72" s="30"/>
      <c r="K72" s="30"/>
      <c r="L72" s="30"/>
      <c r="M72" s="30"/>
      <c r="N72" s="30"/>
      <c r="O72" s="30"/>
      <c r="P72" s="30"/>
      <c r="Q72" s="30"/>
      <c r="R72" s="30"/>
    </row>
    <row r="73" spans="2:18" x14ac:dyDescent="0.3">
      <c r="B73" s="29"/>
      <c r="C73" s="29"/>
      <c r="D73" s="29"/>
      <c r="E73" s="67"/>
      <c r="F73" s="30"/>
      <c r="G73" s="30"/>
      <c r="H73" s="30"/>
      <c r="I73" s="30"/>
      <c r="J73" s="30"/>
      <c r="K73" s="30"/>
      <c r="L73" s="30"/>
      <c r="M73" s="30"/>
      <c r="N73" s="30"/>
      <c r="O73" s="30"/>
      <c r="P73" s="30"/>
      <c r="Q73" s="30"/>
      <c r="R73" s="30"/>
    </row>
    <row r="74" spans="2:18" x14ac:dyDescent="0.3">
      <c r="B74" s="29"/>
      <c r="C74" s="29"/>
      <c r="D74" s="29"/>
      <c r="E74" s="67"/>
      <c r="F74" s="30"/>
      <c r="G74" s="30"/>
      <c r="H74" s="30"/>
      <c r="I74" s="30"/>
      <c r="J74" s="30"/>
      <c r="K74" s="30"/>
      <c r="L74" s="30"/>
      <c r="M74" s="30"/>
      <c r="N74" s="30"/>
      <c r="O74" s="30"/>
      <c r="P74" s="30"/>
      <c r="Q74" s="30"/>
      <c r="R74" s="30"/>
    </row>
    <row r="75" spans="2:18" x14ac:dyDescent="0.3">
      <c r="B75" s="29"/>
      <c r="C75" s="29"/>
      <c r="D75" s="29"/>
      <c r="E75" s="67"/>
      <c r="F75" s="30"/>
      <c r="G75" s="30"/>
      <c r="H75" s="30"/>
      <c r="I75" s="30"/>
      <c r="J75" s="30"/>
      <c r="K75" s="30"/>
      <c r="L75" s="30"/>
      <c r="M75" s="30"/>
      <c r="N75" s="30"/>
      <c r="O75" s="30"/>
      <c r="P75" s="30"/>
      <c r="Q75" s="30"/>
      <c r="R75" s="30"/>
    </row>
    <row r="76" spans="2:18" x14ac:dyDescent="0.3">
      <c r="B76" s="29"/>
      <c r="C76" s="29"/>
      <c r="D76" s="29"/>
      <c r="E76" s="67"/>
      <c r="F76" s="30"/>
      <c r="G76" s="30"/>
      <c r="H76" s="30"/>
      <c r="I76" s="30"/>
      <c r="J76" s="30"/>
      <c r="K76" s="30"/>
      <c r="L76" s="30"/>
      <c r="M76" s="30"/>
      <c r="N76" s="30"/>
      <c r="O76" s="30"/>
      <c r="P76" s="30"/>
      <c r="Q76" s="30"/>
      <c r="R76" s="30"/>
    </row>
    <row r="77" spans="2:18" x14ac:dyDescent="0.3">
      <c r="B77" s="29"/>
      <c r="C77" s="29"/>
      <c r="D77" s="29"/>
      <c r="E77" s="67"/>
      <c r="F77" s="30"/>
      <c r="G77" s="30"/>
      <c r="H77" s="30"/>
      <c r="I77" s="30"/>
      <c r="J77" s="30"/>
      <c r="K77" s="30"/>
      <c r="L77" s="30"/>
      <c r="M77" s="30"/>
      <c r="N77" s="30"/>
      <c r="O77" s="30"/>
      <c r="P77" s="30"/>
      <c r="Q77" s="30"/>
      <c r="R77" s="30"/>
    </row>
    <row r="78" spans="2:18" x14ac:dyDescent="0.3">
      <c r="B78" s="29"/>
      <c r="C78" s="29"/>
      <c r="D78" s="29"/>
      <c r="E78" s="67"/>
      <c r="F78" s="30"/>
      <c r="G78" s="30"/>
      <c r="H78" s="30"/>
      <c r="I78" s="30"/>
      <c r="J78" s="30"/>
      <c r="K78" s="30"/>
      <c r="L78" s="30"/>
      <c r="M78" s="30"/>
      <c r="N78" s="30"/>
      <c r="O78" s="30"/>
      <c r="P78" s="30"/>
      <c r="Q78" s="30"/>
      <c r="R78" s="30"/>
    </row>
    <row r="79" spans="2:18" x14ac:dyDescent="0.3">
      <c r="B79" s="29"/>
      <c r="C79" s="29"/>
      <c r="D79" s="29"/>
      <c r="E79" s="67"/>
      <c r="F79" s="30"/>
      <c r="G79" s="30"/>
      <c r="H79" s="30"/>
      <c r="I79" s="30"/>
      <c r="J79" s="30"/>
      <c r="K79" s="30"/>
      <c r="L79" s="30"/>
      <c r="M79" s="30"/>
      <c r="N79" s="30"/>
      <c r="O79" s="30"/>
      <c r="P79" s="30"/>
      <c r="Q79" s="30"/>
      <c r="R79" s="30"/>
    </row>
    <row r="80" spans="2:18" x14ac:dyDescent="0.3">
      <c r="B80" s="29"/>
      <c r="C80" s="29"/>
      <c r="D80" s="29"/>
      <c r="E80" s="67"/>
      <c r="F80" s="30"/>
      <c r="G80" s="30"/>
      <c r="H80" s="30"/>
      <c r="I80" s="30"/>
      <c r="J80" s="30"/>
      <c r="K80" s="30"/>
      <c r="L80" s="30"/>
      <c r="M80" s="30"/>
      <c r="N80" s="30"/>
      <c r="O80" s="30"/>
      <c r="P80" s="30"/>
      <c r="Q80" s="30"/>
      <c r="R80" s="30"/>
    </row>
    <row r="81" spans="2:18" x14ac:dyDescent="0.3">
      <c r="B81" s="29"/>
      <c r="C81" s="29"/>
      <c r="D81" s="29"/>
      <c r="E81" s="67"/>
      <c r="F81" s="30"/>
      <c r="G81" s="30"/>
      <c r="H81" s="30"/>
      <c r="I81" s="30"/>
      <c r="J81" s="30"/>
      <c r="K81" s="30"/>
      <c r="L81" s="30"/>
      <c r="M81" s="30"/>
      <c r="N81" s="30"/>
      <c r="O81" s="30"/>
      <c r="P81" s="30"/>
      <c r="Q81" s="30"/>
      <c r="R81" s="30"/>
    </row>
    <row r="82" spans="2:18" x14ac:dyDescent="0.3">
      <c r="B82" s="29"/>
      <c r="C82" s="29"/>
      <c r="D82" s="29"/>
      <c r="E82" s="67"/>
      <c r="F82" s="30"/>
      <c r="G82" s="30"/>
      <c r="H82" s="30"/>
      <c r="I82" s="30"/>
      <c r="J82" s="30"/>
      <c r="K82" s="30"/>
      <c r="L82" s="30"/>
      <c r="M82" s="30"/>
      <c r="N82" s="30"/>
      <c r="O82" s="30"/>
      <c r="P82" s="30"/>
      <c r="Q82" s="30"/>
      <c r="R82" s="30"/>
    </row>
    <row r="83" spans="2:18" x14ac:dyDescent="0.3">
      <c r="B83" s="29"/>
      <c r="C83" s="29"/>
      <c r="D83" s="29"/>
      <c r="E83" s="67"/>
      <c r="F83" s="30"/>
      <c r="G83" s="30"/>
      <c r="H83" s="30"/>
      <c r="I83" s="30"/>
      <c r="J83" s="30"/>
      <c r="K83" s="30"/>
      <c r="L83" s="30"/>
      <c r="M83" s="30"/>
      <c r="N83" s="30"/>
      <c r="O83" s="30"/>
      <c r="P83" s="30"/>
      <c r="Q83" s="30"/>
      <c r="R83" s="30"/>
    </row>
    <row r="84" spans="2:18" x14ac:dyDescent="0.3">
      <c r="B84" s="29"/>
      <c r="C84" s="29"/>
      <c r="D84" s="29"/>
      <c r="E84" s="67"/>
      <c r="F84" s="30"/>
      <c r="G84" s="30"/>
      <c r="H84" s="30"/>
      <c r="I84" s="30"/>
      <c r="J84" s="30"/>
      <c r="K84" s="30"/>
      <c r="L84" s="30"/>
      <c r="M84" s="30"/>
      <c r="N84" s="30"/>
      <c r="O84" s="30"/>
      <c r="P84" s="30"/>
      <c r="Q84" s="30"/>
      <c r="R84" s="30"/>
    </row>
    <row r="85" spans="2:18" x14ac:dyDescent="0.3">
      <c r="B85" s="29"/>
      <c r="C85" s="29"/>
      <c r="D85" s="29"/>
      <c r="E85" s="67"/>
      <c r="F85" s="30"/>
      <c r="G85" s="30"/>
      <c r="H85" s="30"/>
      <c r="I85" s="30"/>
      <c r="J85" s="30"/>
      <c r="K85" s="30"/>
      <c r="L85" s="30"/>
      <c r="M85" s="30"/>
      <c r="N85" s="30"/>
      <c r="O85" s="30"/>
      <c r="P85" s="30"/>
      <c r="Q85" s="30"/>
      <c r="R85" s="30"/>
    </row>
    <row r="86" spans="2:18" x14ac:dyDescent="0.3">
      <c r="B86" s="29"/>
      <c r="C86" s="29"/>
      <c r="D86" s="29"/>
      <c r="E86" s="67"/>
      <c r="F86" s="30"/>
      <c r="G86" s="30"/>
      <c r="H86" s="30"/>
      <c r="I86" s="30"/>
      <c r="J86" s="30"/>
      <c r="K86" s="30"/>
      <c r="L86" s="30"/>
      <c r="M86" s="30"/>
      <c r="N86" s="30"/>
      <c r="O86" s="30"/>
      <c r="P86" s="30"/>
      <c r="Q86" s="30"/>
      <c r="R86" s="30"/>
    </row>
    <row r="87" spans="2:18" x14ac:dyDescent="0.3">
      <c r="B87" s="29"/>
      <c r="C87" s="29"/>
      <c r="D87" s="29"/>
      <c r="E87" s="67"/>
      <c r="F87" s="30"/>
      <c r="G87" s="30"/>
      <c r="H87" s="30"/>
      <c r="I87" s="30"/>
      <c r="J87" s="30"/>
      <c r="K87" s="30"/>
      <c r="L87" s="30"/>
      <c r="M87" s="30"/>
      <c r="N87" s="30"/>
      <c r="O87" s="30"/>
      <c r="P87" s="30"/>
      <c r="Q87" s="30"/>
      <c r="R87" s="30"/>
    </row>
    <row r="88" spans="2:18" x14ac:dyDescent="0.3">
      <c r="B88" s="29"/>
      <c r="C88" s="29"/>
      <c r="D88" s="29"/>
      <c r="E88" s="67"/>
      <c r="F88" s="30"/>
      <c r="G88" s="30"/>
      <c r="H88" s="30"/>
      <c r="I88" s="30"/>
      <c r="J88" s="30"/>
      <c r="K88" s="30"/>
      <c r="L88" s="30"/>
      <c r="M88" s="30"/>
      <c r="N88" s="30"/>
      <c r="O88" s="30"/>
      <c r="P88" s="30"/>
      <c r="Q88" s="30"/>
      <c r="R88" s="30"/>
    </row>
    <row r="89" spans="2:18" x14ac:dyDescent="0.3">
      <c r="B89" s="29"/>
      <c r="C89" s="29"/>
      <c r="D89" s="29"/>
      <c r="E89" s="67"/>
      <c r="F89" s="30"/>
      <c r="G89" s="30"/>
      <c r="H89" s="30"/>
      <c r="I89" s="30"/>
      <c r="J89" s="30"/>
      <c r="K89" s="30"/>
      <c r="L89" s="30"/>
      <c r="M89" s="30"/>
      <c r="N89" s="30"/>
      <c r="O89" s="30"/>
      <c r="P89" s="30"/>
      <c r="Q89" s="30"/>
      <c r="R89" s="30"/>
    </row>
    <row r="90" spans="2:18" x14ac:dyDescent="0.3">
      <c r="B90" s="29"/>
      <c r="C90" s="29"/>
      <c r="D90" s="29"/>
      <c r="E90" s="67"/>
      <c r="F90" s="30"/>
      <c r="G90" s="30"/>
      <c r="H90" s="30"/>
      <c r="I90" s="30"/>
      <c r="J90" s="30"/>
      <c r="K90" s="30"/>
      <c r="L90" s="30"/>
      <c r="M90" s="30"/>
      <c r="N90" s="30"/>
      <c r="O90" s="30"/>
      <c r="P90" s="30"/>
      <c r="Q90" s="30"/>
      <c r="R90" s="30"/>
    </row>
    <row r="91" spans="2:18" x14ac:dyDescent="0.3">
      <c r="B91" s="29"/>
      <c r="C91" s="29"/>
      <c r="D91" s="29"/>
      <c r="E91" s="67"/>
      <c r="F91" s="30"/>
      <c r="G91" s="30"/>
      <c r="H91" s="30"/>
      <c r="I91" s="30"/>
      <c r="J91" s="30"/>
      <c r="K91" s="30"/>
      <c r="L91" s="30"/>
      <c r="M91" s="30"/>
      <c r="N91" s="30"/>
      <c r="O91" s="30"/>
      <c r="P91" s="30"/>
      <c r="Q91" s="30"/>
      <c r="R91" s="30"/>
    </row>
    <row r="92" spans="2:18" x14ac:dyDescent="0.3">
      <c r="B92" s="29"/>
      <c r="C92" s="29"/>
      <c r="D92" s="29"/>
      <c r="E92" s="67"/>
      <c r="F92" s="30"/>
      <c r="G92" s="30"/>
      <c r="H92" s="30"/>
      <c r="I92" s="30"/>
      <c r="J92" s="30"/>
      <c r="K92" s="30"/>
      <c r="L92" s="30"/>
      <c r="M92" s="30"/>
      <c r="N92" s="30"/>
      <c r="O92" s="30"/>
      <c r="P92" s="30"/>
      <c r="Q92" s="30"/>
      <c r="R92" s="30"/>
    </row>
    <row r="93" spans="2:18" x14ac:dyDescent="0.3">
      <c r="B93" s="29"/>
      <c r="C93" s="29"/>
      <c r="D93" s="29"/>
      <c r="E93" s="67"/>
      <c r="F93" s="30"/>
      <c r="G93" s="30"/>
      <c r="H93" s="30"/>
      <c r="I93" s="30"/>
      <c r="J93" s="30"/>
      <c r="K93" s="30"/>
      <c r="L93" s="30"/>
      <c r="M93" s="30"/>
      <c r="N93" s="30"/>
      <c r="O93" s="30"/>
      <c r="P93" s="30"/>
      <c r="Q93" s="30"/>
      <c r="R93" s="30"/>
    </row>
    <row r="94" spans="2:18" x14ac:dyDescent="0.3">
      <c r="B94" s="29"/>
      <c r="C94" s="29"/>
      <c r="D94" s="29"/>
      <c r="E94" s="67"/>
      <c r="F94" s="30"/>
      <c r="G94" s="30"/>
      <c r="H94" s="30"/>
      <c r="I94" s="30"/>
      <c r="J94" s="30"/>
      <c r="K94" s="30"/>
      <c r="L94" s="30"/>
      <c r="M94" s="30"/>
      <c r="N94" s="30"/>
      <c r="O94" s="30"/>
      <c r="P94" s="30"/>
      <c r="Q94" s="30"/>
      <c r="R94" s="30"/>
    </row>
    <row r="95" spans="2:18" x14ac:dyDescent="0.3">
      <c r="B95" s="29"/>
      <c r="C95" s="29"/>
      <c r="D95" s="29"/>
      <c r="E95" s="67"/>
      <c r="F95" s="30"/>
      <c r="G95" s="30"/>
      <c r="H95" s="30"/>
      <c r="I95" s="30"/>
      <c r="J95" s="30"/>
      <c r="K95" s="30"/>
      <c r="L95" s="30"/>
      <c r="M95" s="30"/>
      <c r="N95" s="30"/>
      <c r="O95" s="30"/>
      <c r="P95" s="30"/>
      <c r="Q95" s="30"/>
      <c r="R95" s="30"/>
    </row>
    <row r="96" spans="2:18" x14ac:dyDescent="0.3">
      <c r="B96" s="29"/>
      <c r="C96" s="29"/>
      <c r="D96" s="29"/>
      <c r="E96" s="67"/>
      <c r="F96" s="30"/>
      <c r="G96" s="30"/>
      <c r="H96" s="30"/>
      <c r="I96" s="30"/>
      <c r="J96" s="30"/>
      <c r="K96" s="30"/>
      <c r="L96" s="30"/>
      <c r="M96" s="30"/>
      <c r="N96" s="30"/>
      <c r="O96" s="30"/>
      <c r="P96" s="30"/>
      <c r="Q96" s="30"/>
      <c r="R96" s="30"/>
    </row>
    <row r="97" spans="2:18" x14ac:dyDescent="0.3">
      <c r="B97" s="29"/>
      <c r="C97" s="29"/>
      <c r="D97" s="29"/>
      <c r="E97" s="67"/>
      <c r="F97" s="30"/>
      <c r="G97" s="30"/>
      <c r="H97" s="30"/>
      <c r="I97" s="30"/>
      <c r="J97" s="30"/>
      <c r="K97" s="30"/>
      <c r="L97" s="30"/>
      <c r="M97" s="30"/>
      <c r="N97" s="30"/>
      <c r="O97" s="30"/>
      <c r="P97" s="30"/>
      <c r="Q97" s="30"/>
      <c r="R97" s="30"/>
    </row>
    <row r="98" spans="2:18" x14ac:dyDescent="0.3">
      <c r="B98" s="29"/>
      <c r="C98" s="29"/>
      <c r="D98" s="29"/>
      <c r="E98" s="67"/>
      <c r="F98" s="30"/>
      <c r="G98" s="30"/>
      <c r="H98" s="30"/>
      <c r="I98" s="30"/>
      <c r="J98" s="30"/>
      <c r="K98" s="30"/>
      <c r="L98" s="30"/>
      <c r="M98" s="30"/>
      <c r="N98" s="30"/>
      <c r="O98" s="30"/>
      <c r="P98" s="30"/>
      <c r="Q98" s="30"/>
      <c r="R98" s="30"/>
    </row>
    <row r="99" spans="2:18" x14ac:dyDescent="0.3">
      <c r="B99" s="29"/>
      <c r="C99" s="29"/>
      <c r="D99" s="29"/>
      <c r="E99" s="67"/>
      <c r="F99" s="30"/>
      <c r="G99" s="30"/>
      <c r="H99" s="30"/>
      <c r="I99" s="30"/>
      <c r="J99" s="30"/>
      <c r="K99" s="30"/>
      <c r="L99" s="30"/>
      <c r="M99" s="30"/>
      <c r="N99" s="30"/>
      <c r="O99" s="30"/>
      <c r="P99" s="30"/>
      <c r="Q99" s="30"/>
      <c r="R99" s="30"/>
    </row>
    <row r="100" spans="2:18" x14ac:dyDescent="0.3">
      <c r="B100" s="29"/>
      <c r="C100" s="29"/>
      <c r="D100" s="29"/>
      <c r="E100" s="67"/>
      <c r="F100" s="30"/>
      <c r="G100" s="30"/>
      <c r="H100" s="30"/>
      <c r="I100" s="30"/>
      <c r="J100" s="30"/>
      <c r="K100" s="30"/>
      <c r="L100" s="30"/>
      <c r="M100" s="30"/>
      <c r="N100" s="30"/>
      <c r="O100" s="30"/>
      <c r="P100" s="30"/>
      <c r="Q100" s="30"/>
      <c r="R100" s="30"/>
    </row>
    <row r="101" spans="2:18" x14ac:dyDescent="0.3">
      <c r="B101" s="29"/>
      <c r="C101" s="29"/>
      <c r="D101" s="29"/>
      <c r="E101" s="67"/>
      <c r="F101" s="30"/>
      <c r="G101" s="30"/>
      <c r="H101" s="30"/>
      <c r="I101" s="30"/>
      <c r="J101" s="30"/>
      <c r="K101" s="30"/>
      <c r="L101" s="30"/>
      <c r="M101" s="30"/>
      <c r="N101" s="30"/>
      <c r="O101" s="30"/>
      <c r="P101" s="30"/>
      <c r="Q101" s="30"/>
      <c r="R101" s="30"/>
    </row>
    <row r="102" spans="2:18" x14ac:dyDescent="0.3">
      <c r="B102" s="29"/>
      <c r="C102" s="29"/>
      <c r="D102" s="29"/>
      <c r="E102" s="67"/>
      <c r="F102" s="30"/>
      <c r="G102" s="30"/>
      <c r="H102" s="30"/>
      <c r="I102" s="30"/>
      <c r="J102" s="30"/>
      <c r="K102" s="30"/>
      <c r="L102" s="30"/>
      <c r="M102" s="30"/>
      <c r="N102" s="30"/>
      <c r="O102" s="30"/>
      <c r="P102" s="30"/>
      <c r="Q102" s="30"/>
      <c r="R102" s="30"/>
    </row>
    <row r="103" spans="2:18" x14ac:dyDescent="0.3">
      <c r="B103" s="29"/>
      <c r="C103" s="29"/>
      <c r="D103" s="29"/>
      <c r="E103" s="67"/>
      <c r="F103" s="30"/>
      <c r="G103" s="30"/>
      <c r="H103" s="30"/>
      <c r="I103" s="30"/>
      <c r="J103" s="30"/>
      <c r="K103" s="30"/>
      <c r="L103" s="30"/>
      <c r="M103" s="30"/>
      <c r="N103" s="30"/>
      <c r="O103" s="30"/>
      <c r="P103" s="30"/>
      <c r="Q103" s="30"/>
      <c r="R103" s="30"/>
    </row>
    <row r="104" spans="2:18" x14ac:dyDescent="0.3">
      <c r="B104" s="29"/>
      <c r="C104" s="29"/>
      <c r="D104" s="29"/>
      <c r="E104" s="67"/>
      <c r="F104" s="30"/>
      <c r="G104" s="30"/>
      <c r="H104" s="30"/>
      <c r="I104" s="30"/>
      <c r="J104" s="30"/>
      <c r="K104" s="30"/>
      <c r="L104" s="30"/>
      <c r="M104" s="30"/>
      <c r="N104" s="30"/>
      <c r="O104" s="30"/>
      <c r="P104" s="30"/>
      <c r="Q104" s="30"/>
      <c r="R104" s="30"/>
    </row>
    <row r="105" spans="2:18" x14ac:dyDescent="0.3">
      <c r="B105" s="29"/>
      <c r="C105" s="29"/>
      <c r="D105" s="29"/>
      <c r="E105" s="67"/>
      <c r="F105" s="30"/>
      <c r="G105" s="30"/>
      <c r="H105" s="30"/>
      <c r="I105" s="30"/>
      <c r="J105" s="30"/>
      <c r="K105" s="30"/>
      <c r="L105" s="30"/>
      <c r="M105" s="30"/>
      <c r="N105" s="30"/>
      <c r="O105" s="30"/>
      <c r="P105" s="30"/>
      <c r="Q105" s="30"/>
      <c r="R105" s="30"/>
    </row>
    <row r="106" spans="2:18" x14ac:dyDescent="0.3">
      <c r="B106" s="29"/>
      <c r="C106" s="29"/>
      <c r="D106" s="29"/>
      <c r="E106" s="67"/>
      <c r="F106" s="30"/>
      <c r="G106" s="30"/>
      <c r="H106" s="30"/>
      <c r="I106" s="30"/>
      <c r="J106" s="30"/>
      <c r="K106" s="30"/>
      <c r="L106" s="30"/>
      <c r="M106" s="30"/>
      <c r="N106" s="30"/>
      <c r="O106" s="30"/>
      <c r="P106" s="30"/>
      <c r="Q106" s="30"/>
      <c r="R106" s="30"/>
    </row>
    <row r="107" spans="2:18" x14ac:dyDescent="0.3">
      <c r="B107" s="29"/>
      <c r="C107" s="29"/>
      <c r="D107" s="29"/>
      <c r="E107" s="67"/>
      <c r="F107" s="30"/>
      <c r="G107" s="30"/>
      <c r="H107" s="30"/>
      <c r="I107" s="30"/>
      <c r="J107" s="30"/>
      <c r="K107" s="30"/>
      <c r="L107" s="30"/>
      <c r="M107" s="30"/>
      <c r="N107" s="30"/>
      <c r="O107" s="30"/>
      <c r="P107" s="30"/>
      <c r="Q107" s="30"/>
      <c r="R107" s="30"/>
    </row>
    <row r="108" spans="2:18" x14ac:dyDescent="0.3">
      <c r="B108" s="29"/>
      <c r="C108" s="29"/>
      <c r="D108" s="29"/>
      <c r="E108" s="67"/>
      <c r="F108" s="30"/>
      <c r="G108" s="30"/>
      <c r="H108" s="30"/>
      <c r="I108" s="30"/>
      <c r="J108" s="30"/>
      <c r="K108" s="30"/>
      <c r="L108" s="30"/>
      <c r="M108" s="30"/>
      <c r="N108" s="30"/>
      <c r="O108" s="30"/>
      <c r="P108" s="30"/>
      <c r="Q108" s="30"/>
      <c r="R108" s="30"/>
    </row>
    <row r="109" spans="2:18" x14ac:dyDescent="0.3">
      <c r="B109" s="29"/>
      <c r="C109" s="29"/>
      <c r="D109" s="29"/>
      <c r="E109" s="67"/>
      <c r="F109" s="30"/>
      <c r="G109" s="30"/>
      <c r="H109" s="30"/>
      <c r="I109" s="30"/>
      <c r="J109" s="30"/>
      <c r="K109" s="30"/>
      <c r="L109" s="30"/>
      <c r="M109" s="30"/>
      <c r="N109" s="30"/>
      <c r="O109" s="30"/>
      <c r="P109" s="30"/>
      <c r="Q109" s="30"/>
      <c r="R109" s="30"/>
    </row>
    <row r="110" spans="2:18" x14ac:dyDescent="0.3">
      <c r="B110" s="29"/>
      <c r="C110" s="29"/>
      <c r="D110" s="29"/>
      <c r="E110" s="67"/>
      <c r="F110" s="30"/>
      <c r="G110" s="30"/>
      <c r="H110" s="30"/>
      <c r="I110" s="30"/>
      <c r="J110" s="30"/>
      <c r="K110" s="30"/>
      <c r="L110" s="30"/>
      <c r="M110" s="30"/>
      <c r="N110" s="30"/>
      <c r="O110" s="30"/>
      <c r="P110" s="30"/>
      <c r="Q110" s="30"/>
      <c r="R110" s="30"/>
    </row>
    <row r="111" spans="2:18" x14ac:dyDescent="0.3">
      <c r="B111" s="29"/>
      <c r="C111" s="29"/>
      <c r="D111" s="29"/>
      <c r="E111" s="67"/>
      <c r="F111" s="30"/>
      <c r="G111" s="30"/>
      <c r="H111" s="30"/>
      <c r="I111" s="30"/>
      <c r="J111" s="30"/>
      <c r="K111" s="30"/>
      <c r="L111" s="30"/>
      <c r="M111" s="30"/>
      <c r="N111" s="30"/>
      <c r="O111" s="30"/>
      <c r="P111" s="30"/>
      <c r="Q111" s="30"/>
      <c r="R111" s="30"/>
    </row>
    <row r="112" spans="2:18" x14ac:dyDescent="0.3">
      <c r="B112" s="29"/>
      <c r="C112" s="29"/>
      <c r="D112" s="29"/>
      <c r="E112" s="67"/>
      <c r="F112" s="30"/>
      <c r="G112" s="30"/>
      <c r="H112" s="30"/>
      <c r="I112" s="30"/>
      <c r="J112" s="30"/>
      <c r="K112" s="30"/>
      <c r="L112" s="30"/>
      <c r="M112" s="30"/>
      <c r="N112" s="30"/>
      <c r="O112" s="30"/>
      <c r="P112" s="30"/>
      <c r="Q112" s="30"/>
      <c r="R112" s="30"/>
    </row>
    <row r="113" spans="2:18" x14ac:dyDescent="0.3">
      <c r="B113" s="29"/>
      <c r="C113" s="29"/>
      <c r="D113" s="29"/>
      <c r="E113" s="67"/>
      <c r="F113" s="30"/>
      <c r="G113" s="30"/>
      <c r="H113" s="30"/>
      <c r="I113" s="30"/>
      <c r="J113" s="30"/>
      <c r="K113" s="30"/>
      <c r="L113" s="30"/>
      <c r="M113" s="30"/>
      <c r="N113" s="30"/>
      <c r="O113" s="30"/>
      <c r="P113" s="30"/>
      <c r="Q113" s="30"/>
      <c r="R113" s="30"/>
    </row>
    <row r="114" spans="2:18" x14ac:dyDescent="0.3">
      <c r="B114" s="29"/>
      <c r="C114" s="29"/>
      <c r="D114" s="29"/>
      <c r="E114" s="67"/>
      <c r="F114" s="30"/>
      <c r="G114" s="30"/>
      <c r="H114" s="30"/>
      <c r="I114" s="30"/>
      <c r="J114" s="30"/>
      <c r="K114" s="30"/>
      <c r="L114" s="30"/>
      <c r="M114" s="30"/>
      <c r="N114" s="30"/>
      <c r="O114" s="30"/>
      <c r="P114" s="30"/>
      <c r="Q114" s="30"/>
      <c r="R114" s="30"/>
    </row>
    <row r="115" spans="2:18" x14ac:dyDescent="0.3">
      <c r="B115" s="29"/>
      <c r="C115" s="29"/>
      <c r="D115" s="29"/>
      <c r="E115" s="67"/>
      <c r="F115" s="30"/>
      <c r="G115" s="30"/>
      <c r="H115" s="30"/>
      <c r="I115" s="30"/>
      <c r="J115" s="30"/>
      <c r="K115" s="30"/>
      <c r="L115" s="30"/>
      <c r="M115" s="30"/>
      <c r="N115" s="30"/>
      <c r="O115" s="30"/>
      <c r="P115" s="30"/>
      <c r="Q115" s="30"/>
      <c r="R115" s="30"/>
    </row>
    <row r="116" spans="2:18" x14ac:dyDescent="0.3">
      <c r="B116" s="29"/>
      <c r="C116" s="29"/>
      <c r="D116" s="29"/>
      <c r="E116" s="67"/>
      <c r="F116" s="30"/>
      <c r="G116" s="30"/>
      <c r="H116" s="30"/>
      <c r="I116" s="30"/>
      <c r="J116" s="30"/>
      <c r="K116" s="30"/>
      <c r="L116" s="30"/>
      <c r="M116" s="30"/>
      <c r="N116" s="30"/>
      <c r="O116" s="30"/>
      <c r="P116" s="30"/>
      <c r="Q116" s="30"/>
      <c r="R116" s="30"/>
    </row>
    <row r="117" spans="2:18" x14ac:dyDescent="0.3">
      <c r="B117" s="29"/>
      <c r="C117" s="29"/>
      <c r="D117" s="29"/>
      <c r="E117" s="67"/>
      <c r="F117" s="30"/>
      <c r="G117" s="30"/>
      <c r="H117" s="30"/>
      <c r="I117" s="30"/>
      <c r="J117" s="30"/>
      <c r="K117" s="30"/>
      <c r="L117" s="30"/>
      <c r="M117" s="30"/>
      <c r="N117" s="30"/>
      <c r="O117" s="30"/>
      <c r="P117" s="30"/>
      <c r="Q117" s="30"/>
      <c r="R117" s="30"/>
    </row>
    <row r="118" spans="2:18" x14ac:dyDescent="0.3">
      <c r="B118" s="29"/>
      <c r="C118" s="29"/>
      <c r="D118" s="29"/>
      <c r="E118" s="67"/>
      <c r="F118" s="30"/>
      <c r="G118" s="30"/>
      <c r="H118" s="30"/>
      <c r="I118" s="30"/>
      <c r="J118" s="30"/>
      <c r="K118" s="30"/>
      <c r="L118" s="30"/>
      <c r="M118" s="30"/>
      <c r="N118" s="30"/>
      <c r="O118" s="30"/>
      <c r="P118" s="30"/>
      <c r="Q118" s="30"/>
      <c r="R118" s="30"/>
    </row>
    <row r="119" spans="2:18" x14ac:dyDescent="0.3">
      <c r="B119" s="29"/>
      <c r="C119" s="29"/>
      <c r="D119" s="29"/>
      <c r="E119" s="67"/>
      <c r="F119" s="30"/>
      <c r="G119" s="30"/>
      <c r="H119" s="30"/>
      <c r="I119" s="30"/>
      <c r="J119" s="30"/>
      <c r="K119" s="30"/>
      <c r="L119" s="30"/>
      <c r="M119" s="30"/>
      <c r="N119" s="30"/>
      <c r="O119" s="30"/>
      <c r="P119" s="30"/>
      <c r="Q119" s="30"/>
      <c r="R119" s="30"/>
    </row>
    <row r="120" spans="2:18" x14ac:dyDescent="0.3">
      <c r="B120" s="29"/>
      <c r="C120" s="29"/>
      <c r="D120" s="29"/>
      <c r="E120" s="67"/>
      <c r="F120" s="30"/>
      <c r="G120" s="30"/>
      <c r="H120" s="30"/>
      <c r="I120" s="30"/>
      <c r="J120" s="30"/>
      <c r="K120" s="30"/>
      <c r="L120" s="30"/>
      <c r="M120" s="30"/>
      <c r="N120" s="30"/>
      <c r="O120" s="30"/>
      <c r="P120" s="30"/>
      <c r="Q120" s="30"/>
      <c r="R120" s="30"/>
    </row>
    <row r="121" spans="2:18" x14ac:dyDescent="0.3">
      <c r="B121" s="29"/>
      <c r="C121" s="29"/>
      <c r="D121" s="29"/>
      <c r="E121" s="67"/>
      <c r="F121" s="30"/>
      <c r="G121" s="30"/>
      <c r="H121" s="30"/>
      <c r="I121" s="30"/>
      <c r="J121" s="30"/>
      <c r="K121" s="30"/>
      <c r="L121" s="30"/>
      <c r="M121" s="30"/>
      <c r="N121" s="30"/>
      <c r="O121" s="30"/>
      <c r="P121" s="30"/>
      <c r="Q121" s="30"/>
      <c r="R121" s="30"/>
    </row>
    <row r="122" spans="2:18" x14ac:dyDescent="0.3">
      <c r="B122" s="29"/>
      <c r="C122" s="29"/>
      <c r="D122" s="29"/>
      <c r="E122" s="67"/>
      <c r="F122" s="30"/>
      <c r="G122" s="30"/>
      <c r="H122" s="30"/>
      <c r="I122" s="30"/>
      <c r="J122" s="30"/>
      <c r="K122" s="30"/>
      <c r="L122" s="30"/>
      <c r="M122" s="30"/>
      <c r="N122" s="30"/>
      <c r="O122" s="30"/>
      <c r="P122" s="30"/>
      <c r="Q122" s="30"/>
      <c r="R122" s="30"/>
    </row>
    <row r="123" spans="2:18" x14ac:dyDescent="0.3">
      <c r="B123" s="29"/>
      <c r="C123" s="29"/>
      <c r="D123" s="29"/>
      <c r="E123" s="67"/>
      <c r="F123" s="30"/>
      <c r="G123" s="30"/>
      <c r="H123" s="30"/>
      <c r="I123" s="30"/>
      <c r="J123" s="30"/>
      <c r="K123" s="30"/>
      <c r="L123" s="30"/>
      <c r="M123" s="30"/>
      <c r="N123" s="30"/>
      <c r="O123" s="30"/>
      <c r="P123" s="30"/>
      <c r="Q123" s="30"/>
      <c r="R123" s="30"/>
    </row>
    <row r="124" spans="2:18" x14ac:dyDescent="0.3">
      <c r="B124" s="29"/>
      <c r="C124" s="29"/>
      <c r="D124" s="29"/>
      <c r="E124" s="67"/>
      <c r="F124" s="30"/>
      <c r="G124" s="30"/>
      <c r="H124" s="30"/>
      <c r="I124" s="30"/>
      <c r="J124" s="30"/>
      <c r="K124" s="30"/>
      <c r="L124" s="30"/>
      <c r="M124" s="30"/>
      <c r="N124" s="30"/>
      <c r="O124" s="30"/>
      <c r="P124" s="30"/>
      <c r="Q124" s="30"/>
      <c r="R124" s="30"/>
    </row>
    <row r="125" spans="2:18" x14ac:dyDescent="0.3">
      <c r="B125" s="29"/>
      <c r="C125" s="29"/>
      <c r="D125" s="29"/>
      <c r="E125" s="67"/>
      <c r="F125" s="30"/>
      <c r="G125" s="30"/>
      <c r="H125" s="30"/>
      <c r="I125" s="30"/>
      <c r="J125" s="30"/>
      <c r="K125" s="30"/>
      <c r="L125" s="30"/>
      <c r="M125" s="30"/>
      <c r="N125" s="30"/>
      <c r="O125" s="30"/>
      <c r="P125" s="30"/>
      <c r="Q125" s="30"/>
      <c r="R125" s="30"/>
    </row>
    <row r="126" spans="2:18" x14ac:dyDescent="0.3">
      <c r="B126" s="29"/>
      <c r="C126" s="29"/>
      <c r="D126" s="29"/>
      <c r="E126" s="67"/>
      <c r="F126" s="30"/>
      <c r="G126" s="30"/>
      <c r="H126" s="30"/>
      <c r="I126" s="30"/>
      <c r="J126" s="30"/>
      <c r="K126" s="30"/>
      <c r="L126" s="30"/>
      <c r="M126" s="30"/>
      <c r="N126" s="30"/>
      <c r="O126" s="30"/>
      <c r="P126" s="30"/>
      <c r="Q126" s="30"/>
      <c r="R126" s="30"/>
    </row>
    <row r="127" spans="2:18" x14ac:dyDescent="0.3">
      <c r="B127" s="29"/>
      <c r="C127" s="29"/>
      <c r="D127" s="29"/>
      <c r="E127" s="67"/>
      <c r="F127" s="30"/>
      <c r="G127" s="30"/>
      <c r="H127" s="30"/>
      <c r="I127" s="30"/>
      <c r="J127" s="30"/>
      <c r="K127" s="30"/>
      <c r="L127" s="30"/>
      <c r="M127" s="30"/>
      <c r="N127" s="30"/>
      <c r="O127" s="30"/>
      <c r="P127" s="30"/>
      <c r="Q127" s="30"/>
      <c r="R127" s="30"/>
    </row>
    <row r="128" spans="2:18" x14ac:dyDescent="0.3">
      <c r="B128" s="29"/>
      <c r="C128" s="29"/>
      <c r="D128" s="29"/>
      <c r="E128" s="67"/>
      <c r="F128" s="30"/>
      <c r="G128" s="30"/>
      <c r="H128" s="30"/>
      <c r="I128" s="30"/>
      <c r="J128" s="30"/>
      <c r="K128" s="30"/>
      <c r="L128" s="30"/>
      <c r="M128" s="30"/>
      <c r="N128" s="30"/>
      <c r="O128" s="30"/>
      <c r="P128" s="30"/>
      <c r="Q128" s="30"/>
      <c r="R128" s="30"/>
    </row>
    <row r="129" spans="2:18" x14ac:dyDescent="0.3">
      <c r="B129" s="29"/>
      <c r="C129" s="29"/>
      <c r="D129" s="29"/>
      <c r="E129" s="67"/>
      <c r="F129" s="30"/>
      <c r="G129" s="30"/>
      <c r="H129" s="30"/>
      <c r="I129" s="30"/>
      <c r="J129" s="30"/>
      <c r="K129" s="30"/>
      <c r="L129" s="30"/>
      <c r="M129" s="30"/>
      <c r="N129" s="30"/>
      <c r="O129" s="30"/>
      <c r="P129" s="30"/>
      <c r="Q129" s="30"/>
      <c r="R129" s="30"/>
    </row>
    <row r="130" spans="2:18" x14ac:dyDescent="0.3">
      <c r="B130" s="29"/>
      <c r="C130" s="29"/>
      <c r="D130" s="29"/>
      <c r="E130" s="67"/>
      <c r="F130" s="30"/>
      <c r="G130" s="30"/>
      <c r="H130" s="30"/>
      <c r="I130" s="30"/>
      <c r="J130" s="30"/>
      <c r="K130" s="30"/>
      <c r="L130" s="30"/>
      <c r="M130" s="30"/>
      <c r="N130" s="30"/>
      <c r="O130" s="30"/>
      <c r="P130" s="30"/>
      <c r="Q130" s="30"/>
      <c r="R130" s="30"/>
    </row>
    <row r="131" spans="2:18" x14ac:dyDescent="0.3">
      <c r="B131" s="29"/>
      <c r="C131" s="29"/>
      <c r="D131" s="29"/>
      <c r="E131" s="67"/>
      <c r="F131" s="30"/>
      <c r="G131" s="30"/>
      <c r="H131" s="30"/>
      <c r="I131" s="30"/>
      <c r="J131" s="30"/>
      <c r="K131" s="30"/>
      <c r="L131" s="30"/>
      <c r="M131" s="30"/>
      <c r="N131" s="30"/>
      <c r="O131" s="30"/>
      <c r="P131" s="30"/>
      <c r="Q131" s="30"/>
      <c r="R131" s="30"/>
    </row>
    <row r="132" spans="2:18" x14ac:dyDescent="0.3">
      <c r="B132" s="29"/>
      <c r="C132" s="29"/>
      <c r="D132" s="29"/>
      <c r="E132" s="67"/>
      <c r="F132" s="30"/>
      <c r="G132" s="30"/>
      <c r="H132" s="30"/>
      <c r="I132" s="30"/>
      <c r="J132" s="30"/>
      <c r="K132" s="30"/>
      <c r="L132" s="30"/>
      <c r="M132" s="30"/>
      <c r="N132" s="30"/>
      <c r="O132" s="30"/>
      <c r="P132" s="30"/>
      <c r="Q132" s="30"/>
      <c r="R132" s="30"/>
    </row>
    <row r="133" spans="2:18" x14ac:dyDescent="0.3">
      <c r="B133" s="29"/>
      <c r="C133" s="29"/>
      <c r="D133" s="29"/>
      <c r="E133" s="67"/>
      <c r="F133" s="30"/>
      <c r="G133" s="30"/>
      <c r="H133" s="30"/>
      <c r="I133" s="30"/>
      <c r="J133" s="30"/>
      <c r="K133" s="30"/>
      <c r="L133" s="30"/>
      <c r="M133" s="30"/>
      <c r="N133" s="30"/>
      <c r="O133" s="30"/>
      <c r="P133" s="30"/>
      <c r="Q133" s="30"/>
      <c r="R133" s="30"/>
    </row>
    <row r="134" spans="2:18" x14ac:dyDescent="0.3">
      <c r="B134" s="29"/>
      <c r="C134" s="29"/>
      <c r="D134" s="29"/>
      <c r="E134" s="67"/>
      <c r="F134" s="30"/>
      <c r="G134" s="30"/>
      <c r="H134" s="30"/>
      <c r="I134" s="30"/>
      <c r="J134" s="30"/>
      <c r="K134" s="30"/>
      <c r="L134" s="30"/>
      <c r="M134" s="30"/>
      <c r="N134" s="30"/>
      <c r="O134" s="30"/>
      <c r="P134" s="30"/>
      <c r="Q134" s="30"/>
      <c r="R134" s="30"/>
    </row>
    <row r="135" spans="2:18" x14ac:dyDescent="0.3">
      <c r="B135" s="29"/>
      <c r="C135" s="29"/>
      <c r="D135" s="29"/>
      <c r="E135" s="67"/>
      <c r="F135" s="30"/>
      <c r="G135" s="30"/>
      <c r="H135" s="30"/>
      <c r="I135" s="30"/>
      <c r="J135" s="30"/>
      <c r="K135" s="30"/>
      <c r="L135" s="30"/>
      <c r="M135" s="30"/>
      <c r="N135" s="30"/>
      <c r="O135" s="30"/>
      <c r="P135" s="30"/>
      <c r="Q135" s="30"/>
      <c r="R135" s="30"/>
    </row>
    <row r="136" spans="2:18" x14ac:dyDescent="0.3">
      <c r="B136" s="29"/>
      <c r="C136" s="29"/>
      <c r="D136" s="29"/>
      <c r="E136" s="67"/>
      <c r="F136" s="30"/>
      <c r="G136" s="30"/>
      <c r="H136" s="30"/>
      <c r="I136" s="30"/>
      <c r="J136" s="30"/>
      <c r="K136" s="30"/>
      <c r="L136" s="30"/>
      <c r="M136" s="30"/>
      <c r="N136" s="30"/>
      <c r="O136" s="30"/>
      <c r="P136" s="30"/>
      <c r="Q136" s="30"/>
      <c r="R136" s="30"/>
    </row>
    <row r="137" spans="2:18" x14ac:dyDescent="0.3">
      <c r="B137" s="29"/>
      <c r="C137" s="29"/>
      <c r="D137" s="29"/>
      <c r="E137" s="67"/>
      <c r="F137" s="30"/>
      <c r="G137" s="30"/>
      <c r="H137" s="30"/>
      <c r="I137" s="30"/>
      <c r="J137" s="30"/>
      <c r="K137" s="30"/>
      <c r="L137" s="30"/>
      <c r="M137" s="30"/>
      <c r="N137" s="30"/>
      <c r="O137" s="30"/>
      <c r="P137" s="30"/>
      <c r="Q137" s="30"/>
      <c r="R137" s="30"/>
    </row>
    <row r="138" spans="2:18" x14ac:dyDescent="0.3">
      <c r="B138" s="29"/>
      <c r="C138" s="29"/>
      <c r="D138" s="29"/>
      <c r="E138" s="67"/>
      <c r="F138" s="30"/>
      <c r="G138" s="30"/>
      <c r="H138" s="30"/>
      <c r="I138" s="30"/>
      <c r="J138" s="30"/>
      <c r="K138" s="30"/>
      <c r="L138" s="30"/>
      <c r="M138" s="30"/>
      <c r="N138" s="30"/>
      <c r="O138" s="30"/>
      <c r="P138" s="30"/>
      <c r="Q138" s="30"/>
      <c r="R138" s="30"/>
    </row>
    <row r="139" spans="2:18" x14ac:dyDescent="0.3">
      <c r="B139" s="29"/>
      <c r="C139" s="29"/>
      <c r="D139" s="29"/>
      <c r="E139" s="67"/>
      <c r="F139" s="30"/>
      <c r="G139" s="30"/>
      <c r="H139" s="30"/>
      <c r="I139" s="30"/>
      <c r="J139" s="30"/>
      <c r="K139" s="30"/>
      <c r="L139" s="30"/>
      <c r="M139" s="30"/>
      <c r="N139" s="30"/>
      <c r="O139" s="30"/>
      <c r="P139" s="30"/>
      <c r="Q139" s="30"/>
      <c r="R139" s="30"/>
    </row>
    <row r="140" spans="2:18" x14ac:dyDescent="0.3">
      <c r="B140" s="29"/>
      <c r="C140" s="29"/>
      <c r="D140" s="29"/>
      <c r="E140" s="67"/>
      <c r="F140" s="30"/>
      <c r="G140" s="30"/>
      <c r="H140" s="30"/>
      <c r="I140" s="30"/>
      <c r="J140" s="30"/>
      <c r="K140" s="30"/>
      <c r="L140" s="30"/>
      <c r="M140" s="30"/>
      <c r="N140" s="30"/>
      <c r="O140" s="30"/>
      <c r="P140" s="30"/>
      <c r="Q140" s="30"/>
      <c r="R140" s="30"/>
    </row>
    <row r="141" spans="2:18" x14ac:dyDescent="0.3">
      <c r="B141" s="29"/>
      <c r="C141" s="29"/>
      <c r="D141" s="29"/>
      <c r="E141" s="67"/>
      <c r="F141" s="30"/>
      <c r="G141" s="30"/>
      <c r="H141" s="30"/>
      <c r="I141" s="30"/>
      <c r="J141" s="30"/>
      <c r="K141" s="30"/>
      <c r="L141" s="30"/>
      <c r="M141" s="30"/>
      <c r="N141" s="30"/>
      <c r="O141" s="30"/>
      <c r="P141" s="30"/>
      <c r="Q141" s="30"/>
      <c r="R141" s="30"/>
    </row>
    <row r="142" spans="2:18" x14ac:dyDescent="0.3">
      <c r="B142" s="29"/>
      <c r="C142" s="29"/>
      <c r="D142" s="29"/>
      <c r="E142" s="67"/>
      <c r="F142" s="30"/>
      <c r="G142" s="30"/>
      <c r="H142" s="30"/>
      <c r="I142" s="30"/>
      <c r="J142" s="30"/>
      <c r="K142" s="30"/>
      <c r="L142" s="30"/>
      <c r="M142" s="30"/>
      <c r="N142" s="30"/>
      <c r="O142" s="30"/>
      <c r="P142" s="30"/>
      <c r="Q142" s="30"/>
      <c r="R142" s="30"/>
    </row>
    <row r="143" spans="2:18" x14ac:dyDescent="0.3">
      <c r="B143" s="29"/>
      <c r="C143" s="29"/>
      <c r="D143" s="29"/>
      <c r="E143" s="67"/>
      <c r="F143" s="30"/>
      <c r="G143" s="30"/>
      <c r="H143" s="30"/>
      <c r="I143" s="30"/>
      <c r="J143" s="30"/>
      <c r="K143" s="30"/>
      <c r="L143" s="30"/>
      <c r="M143" s="30"/>
      <c r="N143" s="30"/>
      <c r="O143" s="30"/>
      <c r="P143" s="30"/>
      <c r="Q143" s="30"/>
      <c r="R143" s="30"/>
    </row>
    <row r="144" spans="2:18" x14ac:dyDescent="0.3">
      <c r="B144" s="29"/>
      <c r="C144" s="29"/>
      <c r="D144" s="29"/>
      <c r="E144" s="67"/>
      <c r="F144" s="30"/>
      <c r="G144" s="30"/>
      <c r="H144" s="30"/>
      <c r="I144" s="30"/>
      <c r="J144" s="30"/>
      <c r="K144" s="30"/>
      <c r="L144" s="30"/>
      <c r="M144" s="30"/>
      <c r="N144" s="30"/>
      <c r="O144" s="30"/>
      <c r="P144" s="30"/>
      <c r="Q144" s="30"/>
      <c r="R144" s="30"/>
    </row>
    <row r="145" spans="2:18" x14ac:dyDescent="0.3">
      <c r="B145" s="29"/>
      <c r="C145" s="29"/>
      <c r="D145" s="29"/>
      <c r="E145" s="67"/>
      <c r="F145" s="30"/>
      <c r="G145" s="30"/>
      <c r="H145" s="30"/>
      <c r="I145" s="30"/>
      <c r="J145" s="30"/>
      <c r="K145" s="30"/>
      <c r="L145" s="30"/>
      <c r="M145" s="30"/>
      <c r="N145" s="30"/>
      <c r="O145" s="30"/>
      <c r="P145" s="30"/>
      <c r="Q145" s="30"/>
      <c r="R145" s="30"/>
    </row>
    <row r="146" spans="2:18" x14ac:dyDescent="0.3">
      <c r="B146" s="29"/>
      <c r="C146" s="29"/>
      <c r="D146" s="29"/>
      <c r="E146" s="67"/>
      <c r="F146" s="30"/>
      <c r="G146" s="30"/>
      <c r="H146" s="30"/>
      <c r="I146" s="30"/>
      <c r="J146" s="30"/>
      <c r="K146" s="30"/>
      <c r="L146" s="30"/>
      <c r="M146" s="30"/>
      <c r="N146" s="30"/>
      <c r="O146" s="30"/>
      <c r="P146" s="30"/>
      <c r="Q146" s="30"/>
      <c r="R146" s="30"/>
    </row>
    <row r="147" spans="2:18" x14ac:dyDescent="0.3">
      <c r="B147" s="29"/>
      <c r="C147" s="29"/>
      <c r="D147" s="29"/>
      <c r="E147" s="67"/>
      <c r="F147" s="30"/>
      <c r="G147" s="30"/>
      <c r="H147" s="30"/>
      <c r="I147" s="30"/>
      <c r="J147" s="30"/>
      <c r="K147" s="30"/>
      <c r="L147" s="30"/>
      <c r="M147" s="30"/>
      <c r="N147" s="30"/>
      <c r="O147" s="30"/>
      <c r="P147" s="30"/>
      <c r="Q147" s="30"/>
      <c r="R147" s="30"/>
    </row>
    <row r="148" spans="2:18" x14ac:dyDescent="0.3">
      <c r="B148" s="29"/>
      <c r="C148" s="29"/>
      <c r="D148" s="29"/>
      <c r="E148" s="67"/>
      <c r="F148" s="30"/>
      <c r="G148" s="30"/>
      <c r="H148" s="30"/>
      <c r="I148" s="30"/>
      <c r="J148" s="30"/>
      <c r="K148" s="30"/>
      <c r="L148" s="30"/>
      <c r="M148" s="30"/>
      <c r="N148" s="30"/>
      <c r="O148" s="30"/>
      <c r="P148" s="30"/>
      <c r="Q148" s="30"/>
      <c r="R148" s="30"/>
    </row>
    <row r="149" spans="2:18" x14ac:dyDescent="0.3">
      <c r="B149" s="29"/>
      <c r="C149" s="29"/>
      <c r="D149" s="29"/>
      <c r="E149" s="67"/>
      <c r="F149" s="30"/>
      <c r="G149" s="30"/>
      <c r="H149" s="30"/>
      <c r="I149" s="30"/>
      <c r="J149" s="30"/>
      <c r="K149" s="30"/>
      <c r="L149" s="30"/>
      <c r="M149" s="30"/>
      <c r="N149" s="30"/>
      <c r="O149" s="30"/>
      <c r="P149" s="30"/>
      <c r="Q149" s="30"/>
      <c r="R149" s="30"/>
    </row>
    <row r="150" spans="2:18" x14ac:dyDescent="0.3">
      <c r="B150" s="29"/>
      <c r="C150" s="29"/>
      <c r="D150" s="29"/>
      <c r="E150" s="67"/>
      <c r="F150" s="30"/>
      <c r="G150" s="30"/>
      <c r="H150" s="30"/>
      <c r="I150" s="30"/>
      <c r="J150" s="30"/>
      <c r="K150" s="30"/>
      <c r="L150" s="30"/>
      <c r="M150" s="30"/>
      <c r="N150" s="30"/>
      <c r="O150" s="30"/>
      <c r="P150" s="30"/>
      <c r="Q150" s="30"/>
      <c r="R150" s="30"/>
    </row>
    <row r="151" spans="2:18" x14ac:dyDescent="0.3">
      <c r="B151" s="29"/>
      <c r="C151" s="29"/>
      <c r="D151" s="29"/>
      <c r="E151" s="67"/>
      <c r="F151" s="30"/>
      <c r="G151" s="30"/>
      <c r="H151" s="30"/>
      <c r="I151" s="30"/>
      <c r="J151" s="30"/>
      <c r="K151" s="30"/>
      <c r="L151" s="30"/>
      <c r="M151" s="30"/>
      <c r="N151" s="30"/>
      <c r="O151" s="30"/>
      <c r="P151" s="30"/>
      <c r="Q151" s="30"/>
      <c r="R151" s="30"/>
    </row>
    <row r="152" spans="2:18" x14ac:dyDescent="0.3">
      <c r="B152" s="29"/>
      <c r="C152" s="29"/>
      <c r="D152" s="29"/>
      <c r="E152" s="67"/>
      <c r="F152" s="30"/>
      <c r="G152" s="30"/>
      <c r="H152" s="30"/>
      <c r="I152" s="30"/>
      <c r="J152" s="30"/>
      <c r="K152" s="30"/>
      <c r="L152" s="30"/>
      <c r="M152" s="30"/>
      <c r="N152" s="30"/>
      <c r="O152" s="30"/>
      <c r="P152" s="30"/>
      <c r="Q152" s="30"/>
      <c r="R152" s="30"/>
    </row>
    <row r="153" spans="2:18" x14ac:dyDescent="0.3">
      <c r="B153" s="29"/>
      <c r="C153" s="29"/>
      <c r="D153" s="29"/>
      <c r="E153" s="67"/>
      <c r="F153" s="30"/>
      <c r="G153" s="30"/>
      <c r="H153" s="30"/>
      <c r="I153" s="30"/>
      <c r="J153" s="30"/>
      <c r="K153" s="30"/>
      <c r="L153" s="30"/>
      <c r="M153" s="30"/>
      <c r="N153" s="30"/>
      <c r="O153" s="30"/>
      <c r="P153" s="30"/>
      <c r="Q153" s="30"/>
      <c r="R153" s="30"/>
    </row>
    <row r="154" spans="2:18" x14ac:dyDescent="0.3">
      <c r="B154" s="29"/>
      <c r="C154" s="29"/>
      <c r="D154" s="29"/>
      <c r="E154" s="67"/>
      <c r="F154" s="30"/>
      <c r="G154" s="30"/>
      <c r="H154" s="30"/>
      <c r="I154" s="30"/>
      <c r="J154" s="30"/>
      <c r="K154" s="30"/>
      <c r="L154" s="30"/>
      <c r="M154" s="30"/>
      <c r="N154" s="30"/>
      <c r="O154" s="30"/>
      <c r="P154" s="30"/>
      <c r="Q154" s="30"/>
      <c r="R154" s="30"/>
    </row>
    <row r="155" spans="2:18" x14ac:dyDescent="0.3">
      <c r="B155" s="29"/>
      <c r="C155" s="29"/>
      <c r="D155" s="29"/>
      <c r="E155" s="67"/>
      <c r="F155" s="30"/>
      <c r="G155" s="30"/>
      <c r="H155" s="30"/>
      <c r="I155" s="30"/>
      <c r="J155" s="30"/>
      <c r="K155" s="30"/>
      <c r="L155" s="30"/>
      <c r="M155" s="30"/>
      <c r="N155" s="30"/>
      <c r="O155" s="30"/>
      <c r="P155" s="30"/>
      <c r="Q155" s="30"/>
      <c r="R155" s="30"/>
    </row>
    <row r="156" spans="2:18" x14ac:dyDescent="0.3">
      <c r="B156" s="29"/>
      <c r="C156" s="29"/>
      <c r="D156" s="29"/>
      <c r="E156" s="67"/>
      <c r="F156" s="30"/>
      <c r="G156" s="30"/>
      <c r="H156" s="30"/>
      <c r="I156" s="30"/>
      <c r="J156" s="30"/>
      <c r="K156" s="30"/>
      <c r="L156" s="30"/>
      <c r="M156" s="30"/>
      <c r="N156" s="30"/>
      <c r="O156" s="30"/>
      <c r="P156" s="30"/>
      <c r="Q156" s="30"/>
      <c r="R156" s="30"/>
    </row>
    <row r="157" spans="2:18" x14ac:dyDescent="0.3">
      <c r="B157" s="29"/>
      <c r="C157" s="29"/>
      <c r="D157" s="29"/>
      <c r="E157" s="67"/>
      <c r="F157" s="30"/>
      <c r="G157" s="30"/>
      <c r="H157" s="30"/>
      <c r="I157" s="30"/>
      <c r="J157" s="30"/>
      <c r="K157" s="30"/>
      <c r="L157" s="30"/>
      <c r="M157" s="30"/>
      <c r="N157" s="30"/>
      <c r="O157" s="30"/>
      <c r="P157" s="30"/>
      <c r="Q157" s="30"/>
      <c r="R157" s="30"/>
    </row>
    <row r="158" spans="2:18" x14ac:dyDescent="0.3">
      <c r="B158" s="29"/>
      <c r="C158" s="29"/>
      <c r="D158" s="29"/>
      <c r="E158" s="67"/>
      <c r="F158" s="30"/>
      <c r="G158" s="30"/>
      <c r="H158" s="30"/>
      <c r="I158" s="30"/>
      <c r="J158" s="30"/>
      <c r="K158" s="30"/>
      <c r="L158" s="30"/>
      <c r="M158" s="30"/>
      <c r="N158" s="30"/>
      <c r="O158" s="30"/>
      <c r="P158" s="30"/>
      <c r="Q158" s="30"/>
      <c r="R158" s="30"/>
    </row>
    <row r="159" spans="2:18" x14ac:dyDescent="0.3">
      <c r="B159" s="29"/>
      <c r="C159" s="29"/>
      <c r="D159" s="29"/>
      <c r="E159" s="67"/>
      <c r="F159" s="30"/>
      <c r="G159" s="30"/>
      <c r="H159" s="30"/>
      <c r="I159" s="30"/>
      <c r="J159" s="30"/>
      <c r="K159" s="30"/>
      <c r="L159" s="30"/>
      <c r="M159" s="30"/>
      <c r="N159" s="30"/>
      <c r="O159" s="30"/>
      <c r="P159" s="30"/>
      <c r="Q159" s="30"/>
      <c r="R159" s="30"/>
    </row>
    <row r="160" spans="2:18" x14ac:dyDescent="0.3">
      <c r="B160" s="29"/>
      <c r="C160" s="29"/>
      <c r="D160" s="29"/>
      <c r="E160" s="67"/>
      <c r="F160" s="30"/>
      <c r="G160" s="30"/>
      <c r="H160" s="30"/>
      <c r="I160" s="30"/>
      <c r="J160" s="30"/>
      <c r="K160" s="30"/>
      <c r="L160" s="30"/>
      <c r="M160" s="30"/>
      <c r="N160" s="30"/>
      <c r="O160" s="30"/>
      <c r="P160" s="30"/>
      <c r="Q160" s="30"/>
      <c r="R160" s="30"/>
    </row>
    <row r="161" spans="2:18" x14ac:dyDescent="0.3">
      <c r="B161" s="29"/>
      <c r="C161" s="29"/>
      <c r="D161" s="29"/>
      <c r="E161" s="67"/>
      <c r="F161" s="30"/>
      <c r="G161" s="30"/>
      <c r="H161" s="30"/>
      <c r="I161" s="30"/>
      <c r="J161" s="30"/>
      <c r="K161" s="30"/>
      <c r="L161" s="30"/>
      <c r="M161" s="30"/>
      <c r="N161" s="30"/>
      <c r="O161" s="30"/>
      <c r="P161" s="30"/>
      <c r="Q161" s="30"/>
      <c r="R161" s="30"/>
    </row>
    <row r="162" spans="2:18" x14ac:dyDescent="0.3">
      <c r="B162" s="29"/>
      <c r="C162" s="29"/>
      <c r="D162" s="29"/>
      <c r="E162" s="67"/>
      <c r="F162" s="30"/>
      <c r="G162" s="30"/>
      <c r="H162" s="30"/>
      <c r="I162" s="30"/>
      <c r="J162" s="30"/>
      <c r="K162" s="30"/>
      <c r="L162" s="30"/>
      <c r="M162" s="30"/>
      <c r="N162" s="30"/>
      <c r="O162" s="30"/>
      <c r="P162" s="30"/>
      <c r="Q162" s="30"/>
      <c r="R162" s="30"/>
    </row>
    <row r="163" spans="2:18" x14ac:dyDescent="0.3">
      <c r="B163" s="29"/>
      <c r="C163" s="29"/>
      <c r="D163" s="29"/>
      <c r="E163" s="67"/>
      <c r="F163" s="30"/>
      <c r="G163" s="30"/>
      <c r="H163" s="30"/>
      <c r="I163" s="30"/>
      <c r="J163" s="30"/>
      <c r="K163" s="30"/>
      <c r="L163" s="30"/>
      <c r="M163" s="30"/>
      <c r="N163" s="30"/>
      <c r="O163" s="30"/>
      <c r="P163" s="30"/>
      <c r="Q163" s="30"/>
      <c r="R163" s="30"/>
    </row>
    <row r="164" spans="2:18" x14ac:dyDescent="0.3">
      <c r="B164" s="29"/>
      <c r="C164" s="29"/>
      <c r="D164" s="29"/>
      <c r="E164" s="67"/>
      <c r="F164" s="30"/>
      <c r="G164" s="30"/>
      <c r="H164" s="30"/>
      <c r="I164" s="30"/>
      <c r="J164" s="30"/>
      <c r="K164" s="30"/>
      <c r="L164" s="30"/>
      <c r="M164" s="30"/>
      <c r="N164" s="30"/>
      <c r="O164" s="30"/>
      <c r="P164" s="30"/>
      <c r="Q164" s="30"/>
      <c r="R164" s="30"/>
    </row>
    <row r="165" spans="2:18" x14ac:dyDescent="0.3">
      <c r="B165" s="29"/>
      <c r="C165" s="29"/>
      <c r="D165" s="29"/>
      <c r="E165" s="67"/>
      <c r="F165" s="30"/>
      <c r="G165" s="30"/>
      <c r="H165" s="30"/>
      <c r="I165" s="30"/>
      <c r="J165" s="30"/>
      <c r="K165" s="30"/>
      <c r="L165" s="30"/>
      <c r="M165" s="30"/>
      <c r="N165" s="30"/>
      <c r="O165" s="30"/>
      <c r="P165" s="30"/>
      <c r="Q165" s="30"/>
      <c r="R165" s="30"/>
    </row>
    <row r="166" spans="2:18" x14ac:dyDescent="0.3">
      <c r="B166" s="29"/>
      <c r="C166" s="29"/>
      <c r="D166" s="29"/>
      <c r="E166" s="67"/>
      <c r="F166" s="30"/>
      <c r="G166" s="30"/>
      <c r="H166" s="30"/>
      <c r="I166" s="30"/>
      <c r="J166" s="30"/>
      <c r="K166" s="30"/>
      <c r="L166" s="30"/>
      <c r="M166" s="30"/>
      <c r="N166" s="30"/>
      <c r="O166" s="30"/>
      <c r="P166" s="30"/>
      <c r="Q166" s="30"/>
      <c r="R166" s="30"/>
    </row>
    <row r="167" spans="2:18" x14ac:dyDescent="0.3">
      <c r="B167" s="29"/>
      <c r="C167" s="29"/>
      <c r="D167" s="29"/>
      <c r="E167" s="67"/>
      <c r="F167" s="30"/>
      <c r="G167" s="30"/>
      <c r="H167" s="30"/>
      <c r="I167" s="30"/>
      <c r="J167" s="30"/>
      <c r="K167" s="30"/>
      <c r="L167" s="30"/>
      <c r="M167" s="30"/>
      <c r="N167" s="30"/>
      <c r="O167" s="30"/>
      <c r="P167" s="30"/>
      <c r="Q167" s="30"/>
      <c r="R167" s="30"/>
    </row>
    <row r="168" spans="2:18" x14ac:dyDescent="0.3">
      <c r="B168" s="29"/>
      <c r="C168" s="29"/>
      <c r="D168" s="29"/>
      <c r="E168" s="67"/>
      <c r="F168" s="30"/>
      <c r="G168" s="30"/>
      <c r="H168" s="30"/>
      <c r="I168" s="30"/>
      <c r="J168" s="30"/>
      <c r="K168" s="30"/>
      <c r="L168" s="30"/>
      <c r="M168" s="30"/>
      <c r="N168" s="30"/>
      <c r="O168" s="30"/>
      <c r="P168" s="30"/>
      <c r="Q168" s="30"/>
      <c r="R168" s="30"/>
    </row>
    <row r="169" spans="2:18" x14ac:dyDescent="0.3">
      <c r="B169" s="29"/>
      <c r="C169" s="29"/>
      <c r="D169" s="29"/>
      <c r="E169" s="67"/>
      <c r="F169" s="30"/>
      <c r="G169" s="30"/>
      <c r="H169" s="30"/>
      <c r="I169" s="30"/>
      <c r="J169" s="30"/>
      <c r="K169" s="30"/>
      <c r="L169" s="30"/>
      <c r="M169" s="30"/>
      <c r="N169" s="30"/>
      <c r="O169" s="30"/>
      <c r="P169" s="30"/>
      <c r="Q169" s="30"/>
      <c r="R169" s="30"/>
    </row>
    <row r="170" spans="2:18" x14ac:dyDescent="0.3">
      <c r="B170" s="29"/>
      <c r="C170" s="29"/>
      <c r="D170" s="29"/>
      <c r="E170" s="67"/>
      <c r="F170" s="30"/>
      <c r="G170" s="30"/>
      <c r="H170" s="30"/>
      <c r="I170" s="30"/>
      <c r="J170" s="30"/>
      <c r="K170" s="30"/>
      <c r="L170" s="30"/>
      <c r="M170" s="30"/>
      <c r="N170" s="30"/>
      <c r="O170" s="30"/>
      <c r="P170" s="30"/>
      <c r="Q170" s="30"/>
      <c r="R170" s="30"/>
    </row>
    <row r="171" spans="2:18" x14ac:dyDescent="0.3">
      <c r="B171" s="29"/>
      <c r="C171" s="29"/>
      <c r="D171" s="29"/>
      <c r="E171" s="67"/>
      <c r="F171" s="30"/>
      <c r="G171" s="30"/>
      <c r="H171" s="30"/>
      <c r="I171" s="30"/>
      <c r="J171" s="30"/>
      <c r="K171" s="30"/>
      <c r="L171" s="30"/>
      <c r="M171" s="30"/>
      <c r="N171" s="30"/>
      <c r="O171" s="30"/>
      <c r="P171" s="30"/>
      <c r="Q171" s="30"/>
      <c r="R171" s="30"/>
    </row>
    <row r="172" spans="2:18" x14ac:dyDescent="0.3">
      <c r="B172" s="29"/>
      <c r="C172" s="29"/>
      <c r="D172" s="29"/>
      <c r="E172" s="67"/>
      <c r="F172" s="30"/>
      <c r="G172" s="30"/>
      <c r="H172" s="30"/>
      <c r="I172" s="30"/>
      <c r="J172" s="30"/>
      <c r="K172" s="30"/>
      <c r="L172" s="30"/>
      <c r="M172" s="30"/>
      <c r="N172" s="30"/>
      <c r="O172" s="30"/>
      <c r="P172" s="30"/>
      <c r="Q172" s="30"/>
      <c r="R172" s="30"/>
    </row>
    <row r="173" spans="2:18" x14ac:dyDescent="0.3">
      <c r="B173" s="29"/>
      <c r="C173" s="29"/>
      <c r="D173" s="29"/>
      <c r="E173" s="67"/>
      <c r="F173" s="30"/>
      <c r="G173" s="30"/>
      <c r="H173" s="30"/>
      <c r="I173" s="30"/>
      <c r="J173" s="30"/>
      <c r="K173" s="30"/>
      <c r="L173" s="30"/>
      <c r="M173" s="30"/>
      <c r="N173" s="30"/>
      <c r="O173" s="30"/>
      <c r="P173" s="30"/>
      <c r="Q173" s="30"/>
      <c r="R173" s="30"/>
    </row>
    <row r="174" spans="2:18" x14ac:dyDescent="0.3">
      <c r="B174" s="29"/>
      <c r="C174" s="29"/>
      <c r="D174" s="29"/>
      <c r="E174" s="67"/>
      <c r="F174" s="30"/>
      <c r="G174" s="30"/>
      <c r="H174" s="30"/>
      <c r="I174" s="30"/>
      <c r="J174" s="30"/>
      <c r="K174" s="30"/>
      <c r="L174" s="30"/>
      <c r="M174" s="30"/>
      <c r="N174" s="30"/>
      <c r="O174" s="30"/>
      <c r="P174" s="30"/>
      <c r="Q174" s="30"/>
      <c r="R174" s="30"/>
    </row>
  </sheetData>
  <mergeCells count="2">
    <mergeCell ref="A3:E3"/>
    <mergeCell ref="A4:E4"/>
  </mergeCells>
  <phoneticPr fontId="4"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26">
    <tabColor indexed="55"/>
    <outlinePr applyStyles="1" summaryBelow="0"/>
    <pageSetUpPr fitToPage="1"/>
  </sheetPr>
  <dimension ref="A2:S247"/>
  <sheetViews>
    <sheetView workbookViewId="0">
      <selection activeCell="A11" sqref="A11"/>
    </sheetView>
  </sheetViews>
  <sheetFormatPr defaultColWidth="9.109375" defaultRowHeight="13.8" outlineLevelRow="1" x14ac:dyDescent="0.3"/>
  <cols>
    <col min="1" max="1" width="52.6640625" style="26" bestFit="1" customWidth="1"/>
    <col min="2" max="3" width="13.5546875" style="26" bestFit="1" customWidth="1"/>
    <col min="4" max="4" width="14" style="26" bestFit="1" customWidth="1"/>
    <col min="5" max="7" width="14.5546875" style="26" bestFit="1" customWidth="1"/>
    <col min="8" max="8" width="9.109375" style="26" customWidth="1"/>
    <col min="9" max="16384" width="9.109375" style="26"/>
  </cols>
  <sheetData>
    <row r="2" spans="1:19" ht="18" x14ac:dyDescent="0.35">
      <c r="A2" s="5" t="str">
        <f>DEBT_LAST_5_YEARS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A4" s="153" t="str">
        <f>$A$2 &amp; " (" &amp;G4 &amp; ")"</f>
        <v>Державний та гарантований державою борг України за останні 5 років (млрд. грн)</v>
      </c>
      <c r="G4" s="31" t="str">
        <f>VALUAH</f>
        <v>млрд. грн</v>
      </c>
    </row>
    <row r="5" spans="1:19" s="18" customFormat="1" x14ac:dyDescent="0.25">
      <c r="A5" s="16"/>
      <c r="B5" s="17">
        <v>44561</v>
      </c>
      <c r="C5" s="17">
        <v>44926</v>
      </c>
      <c r="D5" s="17">
        <v>45291</v>
      </c>
      <c r="E5" s="17">
        <v>45657</v>
      </c>
      <c r="F5" s="17">
        <v>46022</v>
      </c>
      <c r="G5" s="17">
        <v>46265</v>
      </c>
    </row>
    <row r="6" spans="1:19" s="19" customFormat="1" x14ac:dyDescent="0.25">
      <c r="A6" s="163" t="str">
        <f>DEBT_TOTAL</f>
        <v>Загальна сума державного та гарантованого державою боргу</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9602.8930637009689</v>
      </c>
    </row>
    <row r="7" spans="1:19" s="42" customFormat="1" outlineLevel="1" x14ac:dyDescent="0.25">
      <c r="A7" s="174" t="s">
        <v>3</v>
      </c>
      <c r="B7" s="180">
        <v>1111.59786125906</v>
      </c>
      <c r="C7" s="180">
        <v>1461.888183668</v>
      </c>
      <c r="D7" s="180">
        <v>1656.49630379928</v>
      </c>
      <c r="E7" s="180">
        <v>1932.48958136344</v>
      </c>
      <c r="F7" s="180">
        <v>2031.50200194128</v>
      </c>
      <c r="G7" s="180">
        <v>2065.1785177859101</v>
      </c>
    </row>
    <row r="8" spans="1:19" s="42" customFormat="1" outlineLevel="1" x14ac:dyDescent="0.25">
      <c r="A8" s="174" t="s">
        <v>22</v>
      </c>
      <c r="B8" s="180">
        <v>1560.4621590567101</v>
      </c>
      <c r="C8" s="180">
        <v>2613.6796544812701</v>
      </c>
      <c r="D8" s="180">
        <v>3863.13915481087</v>
      </c>
      <c r="E8" s="180">
        <v>5048.4963038821397</v>
      </c>
      <c r="F8" s="180">
        <v>7011.1750260041099</v>
      </c>
      <c r="G8" s="180">
        <v>7537.7145459150597</v>
      </c>
    </row>
    <row r="9" spans="1:19" x14ac:dyDescent="0.3">
      <c r="B9" s="30"/>
      <c r="C9" s="30"/>
      <c r="D9" s="30"/>
      <c r="E9" s="30"/>
      <c r="F9" s="30"/>
      <c r="G9" s="30"/>
      <c r="H9" s="30"/>
      <c r="I9" s="30"/>
      <c r="J9" s="30"/>
      <c r="K9" s="30"/>
      <c r="L9" s="30"/>
      <c r="M9" s="30"/>
      <c r="N9" s="30"/>
      <c r="O9" s="30"/>
      <c r="P9" s="30"/>
      <c r="Q9" s="30"/>
    </row>
    <row r="10" spans="1:19" x14ac:dyDescent="0.3">
      <c r="A10" s="153" t="str">
        <f>$A$2 &amp; " (" &amp;G10 &amp; ")"</f>
        <v>Державний та гарантований державою борг України за останні 5 років (млрд. дол. США)</v>
      </c>
      <c r="B10" s="30"/>
      <c r="C10" s="30"/>
      <c r="D10" s="30"/>
      <c r="E10" s="30"/>
      <c r="F10" s="30"/>
      <c r="G10" s="31" t="str">
        <f>VALUSD</f>
        <v>млрд. дол. США</v>
      </c>
      <c r="H10" s="30"/>
      <c r="I10" s="30"/>
      <c r="J10" s="30"/>
      <c r="K10" s="30"/>
      <c r="L10" s="30"/>
      <c r="M10" s="30"/>
      <c r="N10" s="30"/>
      <c r="O10" s="30"/>
      <c r="P10" s="30"/>
      <c r="Q10" s="30"/>
    </row>
    <row r="11" spans="1:19" s="38" customFormat="1" x14ac:dyDescent="0.3">
      <c r="A11" s="16"/>
      <c r="B11" s="17">
        <v>44561</v>
      </c>
      <c r="C11" s="17">
        <v>44926</v>
      </c>
      <c r="D11" s="17">
        <v>45291</v>
      </c>
      <c r="E11" s="17">
        <v>45657</v>
      </c>
      <c r="F11" s="17">
        <v>46022</v>
      </c>
      <c r="G11" s="17">
        <v>46265</v>
      </c>
      <c r="H11" s="18"/>
      <c r="I11" s="18"/>
      <c r="J11" s="18"/>
      <c r="K11" s="18"/>
      <c r="L11" s="18"/>
      <c r="M11" s="18"/>
      <c r="N11" s="18"/>
      <c r="O11" s="18"/>
      <c r="P11" s="18"/>
      <c r="Q11" s="18"/>
      <c r="R11" s="18"/>
      <c r="S11" s="18"/>
    </row>
    <row r="12" spans="1:19" s="40" customFormat="1" x14ac:dyDescent="0.3">
      <c r="A12" s="163" t="str">
        <f>DEBT_TOTAL</f>
        <v>Загальна сума державного та гарантованого державою боргу</v>
      </c>
      <c r="B12" s="116">
        <f t="shared" ref="B12:G12" si="1">SUM(B$13+ B$14)</f>
        <v>97.955877598960001</v>
      </c>
      <c r="C12" s="116">
        <f t="shared" si="1"/>
        <v>111.44992803011999</v>
      </c>
      <c r="D12" s="116">
        <f t="shared" si="1"/>
        <v>145.32087120892999</v>
      </c>
      <c r="E12" s="116">
        <f t="shared" si="1"/>
        <v>166.05975130832002</v>
      </c>
      <c r="F12" s="116">
        <f t="shared" si="1"/>
        <v>213.33206790509001</v>
      </c>
      <c r="G12" s="116">
        <f t="shared" si="1"/>
        <v>215.55073598984998</v>
      </c>
      <c r="H12" s="39"/>
      <c r="I12" s="39"/>
      <c r="J12" s="39"/>
      <c r="K12" s="39"/>
      <c r="L12" s="39"/>
      <c r="M12" s="39"/>
      <c r="N12" s="39"/>
      <c r="O12" s="39"/>
      <c r="P12" s="39"/>
      <c r="Q12" s="39"/>
    </row>
    <row r="13" spans="1:19" s="44" customFormat="1" outlineLevel="1" x14ac:dyDescent="0.3">
      <c r="A13" s="177" t="s">
        <v>3</v>
      </c>
      <c r="B13" s="175">
        <v>40.750410997160003</v>
      </c>
      <c r="C13" s="175">
        <v>39.976596962419997</v>
      </c>
      <c r="D13" s="175">
        <v>43.612207332799997</v>
      </c>
      <c r="E13" s="175">
        <v>45.968971226080001</v>
      </c>
      <c r="F13" s="175">
        <v>47.926573257919998</v>
      </c>
      <c r="G13" s="175">
        <v>46.355899884369997</v>
      </c>
      <c r="H13" s="43"/>
      <c r="I13" s="43"/>
      <c r="J13" s="43"/>
      <c r="K13" s="43"/>
      <c r="L13" s="43"/>
      <c r="M13" s="43"/>
      <c r="N13" s="43"/>
      <c r="O13" s="43"/>
      <c r="P13" s="43"/>
      <c r="Q13" s="43"/>
    </row>
    <row r="14" spans="1:19" s="44" customFormat="1" outlineLevel="1" x14ac:dyDescent="0.3">
      <c r="A14" s="177" t="s">
        <v>22</v>
      </c>
      <c r="B14" s="175">
        <v>57.205466601799998</v>
      </c>
      <c r="C14" s="175">
        <v>71.473331067700002</v>
      </c>
      <c r="D14" s="175">
        <v>101.70866387613</v>
      </c>
      <c r="E14" s="175">
        <v>120.09078008224</v>
      </c>
      <c r="F14" s="175">
        <v>165.40549464717</v>
      </c>
      <c r="G14" s="175">
        <v>169.19483610547999</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6"/>
      <c r="B17" s="17">
        <v>44561</v>
      </c>
      <c r="C17" s="17">
        <v>44926</v>
      </c>
      <c r="D17" s="17">
        <v>45291</v>
      </c>
      <c r="E17" s="17">
        <v>45657</v>
      </c>
      <c r="F17" s="17">
        <v>46022</v>
      </c>
      <c r="G17" s="17">
        <v>46265</v>
      </c>
      <c r="H17" s="18"/>
      <c r="I17" s="18"/>
      <c r="J17" s="18"/>
      <c r="K17" s="18"/>
      <c r="L17" s="18"/>
      <c r="M17" s="18"/>
      <c r="N17" s="18"/>
      <c r="O17" s="18"/>
      <c r="P17" s="18"/>
      <c r="Q17" s="18"/>
      <c r="R17" s="18"/>
      <c r="S17" s="18"/>
    </row>
    <row r="18" spans="1:19" s="40" customFormat="1" x14ac:dyDescent="0.3">
      <c r="A18" s="163" t="str">
        <f>DEBT_TOTAL</f>
        <v>Загальна сума державного та гарантованого державою боргу</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outlineLevel="1" x14ac:dyDescent="0.3">
      <c r="A19" s="177" t="s">
        <v>3</v>
      </c>
      <c r="B19" s="178">
        <v>0.41600799999999999</v>
      </c>
      <c r="C19" s="178">
        <v>0.35869600000000001</v>
      </c>
      <c r="D19" s="178">
        <v>0.30010999999999999</v>
      </c>
      <c r="E19" s="178">
        <v>0.27682200000000001</v>
      </c>
      <c r="F19" s="178">
        <v>0.224657</v>
      </c>
      <c r="G19" s="178">
        <v>0.215058</v>
      </c>
      <c r="H19" s="43"/>
      <c r="I19" s="43"/>
      <c r="J19" s="43"/>
      <c r="K19" s="43"/>
      <c r="L19" s="43"/>
      <c r="M19" s="43"/>
      <c r="N19" s="43"/>
      <c r="O19" s="43"/>
      <c r="P19" s="43"/>
      <c r="Q19" s="43"/>
    </row>
    <row r="20" spans="1:19" s="44" customFormat="1" outlineLevel="1" x14ac:dyDescent="0.3">
      <c r="A20" s="177" t="s">
        <v>22</v>
      </c>
      <c r="B20" s="178">
        <v>0.58399199999999996</v>
      </c>
      <c r="C20" s="178">
        <v>0.64130399999999999</v>
      </c>
      <c r="D20" s="178">
        <v>0.69989000000000001</v>
      </c>
      <c r="E20" s="178">
        <v>0.72317799999999999</v>
      </c>
      <c r="F20" s="178">
        <v>0.775343</v>
      </c>
      <c r="G20" s="178">
        <v>0.78494200000000003</v>
      </c>
      <c r="H20" s="43"/>
      <c r="I20" s="43"/>
      <c r="J20" s="43"/>
      <c r="K20" s="43"/>
      <c r="L20" s="43"/>
      <c r="M20" s="43"/>
      <c r="N20" s="43"/>
      <c r="O20" s="43"/>
      <c r="P20" s="43"/>
      <c r="Q20" s="43"/>
    </row>
    <row r="21" spans="1:19" x14ac:dyDescent="0.3">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37">
    <tabColor indexed="50"/>
    <outlinePr applyStyles="1" summaryBelow="0"/>
    <pageSetUpPr fitToPage="1"/>
  </sheetPr>
  <dimension ref="A2:S247"/>
  <sheetViews>
    <sheetView zoomScaleNormal="100" workbookViewId="0">
      <selection activeCell="G10" sqref="G10"/>
    </sheetView>
  </sheetViews>
  <sheetFormatPr defaultColWidth="9.109375" defaultRowHeight="13.8" x14ac:dyDescent="0.3"/>
  <cols>
    <col min="1" max="1" width="52.6640625" style="26" bestFit="1" customWidth="1"/>
    <col min="2" max="7" width="11.6640625" style="26" customWidth="1"/>
    <col min="8" max="8" width="9.109375" style="26" customWidth="1"/>
    <col min="9" max="16384" width="9.109375" style="26"/>
  </cols>
  <sheetData>
    <row r="2" spans="1:19" ht="18" x14ac:dyDescent="0.35">
      <c r="A2" s="5" t="str">
        <f>DEBT_LAST_5_YEARS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4" spans="1:19" s="31" customFormat="1" x14ac:dyDescent="0.3">
      <c r="G4" s="161" t="str">
        <f>VALUAH</f>
        <v>млрд. грн</v>
      </c>
    </row>
    <row r="5" spans="1:19" s="18" customFormat="1" x14ac:dyDescent="0.25">
      <c r="A5" s="64"/>
      <c r="B5" s="17">
        <f>YT_ALL!B5</f>
        <v>44561</v>
      </c>
      <c r="C5" s="17">
        <f>YT_ALL!C5</f>
        <v>44926</v>
      </c>
      <c r="D5" s="17">
        <f>YT_ALL!D5</f>
        <v>45291</v>
      </c>
      <c r="E5" s="17">
        <f>YT_ALL!E5</f>
        <v>45657</v>
      </c>
      <c r="F5" s="17">
        <f>YT_ALL!F5</f>
        <v>46022</v>
      </c>
      <c r="G5" s="17">
        <f>YT_ALL!G5</f>
        <v>46265</v>
      </c>
    </row>
    <row r="6" spans="1:19" s="19" customFormat="1" x14ac:dyDescent="0.25">
      <c r="A6" s="163" t="str">
        <f>DEBT_TOTAL</f>
        <v>Загальна сума державного та гарантованого державою боргу</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9602.8930637009689</v>
      </c>
    </row>
    <row r="7" spans="1:19" s="42" customFormat="1" x14ac:dyDescent="0.25">
      <c r="A7" s="118" t="str">
        <f>YT_ALL!A7</f>
        <v>Внутрішній борг</v>
      </c>
      <c r="B7" s="23">
        <f>YT_ALL!B7/DMLMLR</f>
        <v>1111.59786125906</v>
      </c>
      <c r="C7" s="23">
        <f>YT_ALL!C7/DMLMLR</f>
        <v>1461.888183668</v>
      </c>
      <c r="D7" s="23">
        <f>YT_ALL!D7/DMLMLR</f>
        <v>1656.49630379928</v>
      </c>
      <c r="E7" s="23">
        <f>YT_ALL!E7/DMLMLR</f>
        <v>1932.48958136344</v>
      </c>
      <c r="F7" s="23">
        <f>YT_ALL!F7/DMLMLR</f>
        <v>2031.50200194128</v>
      </c>
      <c r="G7" s="23">
        <f>YT_ALL!G7/DMLMLR</f>
        <v>2065.1785177859101</v>
      </c>
    </row>
    <row r="8" spans="1:19" s="42" customFormat="1" x14ac:dyDescent="0.25">
      <c r="A8" s="118" t="str">
        <f>YT_ALL!A8</f>
        <v>Зовнішній борг</v>
      </c>
      <c r="B8" s="23">
        <f>YT_ALL!B8/DMLMLR</f>
        <v>1560.4621590567101</v>
      </c>
      <c r="C8" s="23">
        <f>YT_ALL!C8/DMLMLR</f>
        <v>2613.6796544812701</v>
      </c>
      <c r="D8" s="23">
        <f>YT_ALL!D8/DMLMLR</f>
        <v>3863.13915481087</v>
      </c>
      <c r="E8" s="23">
        <f>YT_ALL!E8/DMLMLR</f>
        <v>5048.4963038821397</v>
      </c>
      <c r="F8" s="23">
        <f>YT_ALL!F8/DMLMLR</f>
        <v>7011.1750260041099</v>
      </c>
      <c r="G8" s="23">
        <f>YT_ALL!G8/DMLMLR</f>
        <v>7537.7145459150597</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161" t="str">
        <f>VALUSD</f>
        <v>млрд. дол. США</v>
      </c>
      <c r="H10" s="30"/>
      <c r="I10" s="30"/>
      <c r="J10" s="30"/>
      <c r="K10" s="30"/>
      <c r="L10" s="30"/>
      <c r="M10" s="30"/>
      <c r="N10" s="30"/>
      <c r="O10" s="30"/>
      <c r="P10" s="30"/>
      <c r="Q10" s="30"/>
    </row>
    <row r="11" spans="1:19" s="38" customFormat="1" x14ac:dyDescent="0.3">
      <c r="A11" s="117"/>
      <c r="B11" s="17">
        <f>YT_ALL!B11</f>
        <v>44561</v>
      </c>
      <c r="C11" s="17">
        <f>YT_ALL!C11</f>
        <v>44926</v>
      </c>
      <c r="D11" s="17">
        <f>YT_ALL!D11</f>
        <v>45291</v>
      </c>
      <c r="E11" s="17">
        <f>YT_ALL!E11</f>
        <v>45657</v>
      </c>
      <c r="F11" s="17">
        <f>YT_ALL!F11</f>
        <v>46022</v>
      </c>
      <c r="G11" s="17">
        <f>YT_ALL!G11</f>
        <v>46265</v>
      </c>
      <c r="H11" s="18"/>
      <c r="I11" s="18"/>
      <c r="J11" s="18"/>
      <c r="K11" s="18"/>
      <c r="L11" s="18"/>
      <c r="M11" s="18"/>
      <c r="N11" s="18"/>
      <c r="O11" s="18"/>
      <c r="P11" s="18"/>
      <c r="Q11" s="18"/>
      <c r="R11" s="18"/>
      <c r="S11" s="18"/>
    </row>
    <row r="12" spans="1:19" s="40" customFormat="1" x14ac:dyDescent="0.3">
      <c r="A12" s="163" t="str">
        <f>DEBT_TOTAL</f>
        <v>Загальна сума державного та гарантованого державою боргу</v>
      </c>
      <c r="B12" s="116">
        <f t="shared" ref="B12:G12" si="1">SUM(B$13+ B$14)</f>
        <v>97.955877598960001</v>
      </c>
      <c r="C12" s="116">
        <f t="shared" si="1"/>
        <v>111.44992803011999</v>
      </c>
      <c r="D12" s="116">
        <f t="shared" si="1"/>
        <v>145.32087120892999</v>
      </c>
      <c r="E12" s="116">
        <f t="shared" si="1"/>
        <v>166.05975130832002</v>
      </c>
      <c r="F12" s="116">
        <f t="shared" si="1"/>
        <v>213.33206790509001</v>
      </c>
      <c r="G12" s="116">
        <f t="shared" si="1"/>
        <v>215.55073598984998</v>
      </c>
      <c r="H12" s="39"/>
      <c r="I12" s="39"/>
      <c r="J12" s="39"/>
      <c r="K12" s="39"/>
      <c r="L12" s="39"/>
      <c r="M12" s="39"/>
      <c r="N12" s="39"/>
      <c r="O12" s="39"/>
      <c r="P12" s="39"/>
      <c r="Q12" s="39"/>
    </row>
    <row r="13" spans="1:19" s="44" customFormat="1" x14ac:dyDescent="0.3">
      <c r="A13" s="118" t="str">
        <f>YT_ALL!A13</f>
        <v>Внутрішній борг</v>
      </c>
      <c r="B13" s="23">
        <f>YT_ALL!B13/DMLMLR</f>
        <v>40.750410997160003</v>
      </c>
      <c r="C13" s="23">
        <f>YT_ALL!C13/DMLMLR</f>
        <v>39.976596962419997</v>
      </c>
      <c r="D13" s="23">
        <f>YT_ALL!D13/DMLMLR</f>
        <v>43.612207332799997</v>
      </c>
      <c r="E13" s="23">
        <f>YT_ALL!E13/DMLMLR</f>
        <v>45.968971226080001</v>
      </c>
      <c r="F13" s="23">
        <f>YT_ALL!F13/DMLMLR</f>
        <v>47.926573257919998</v>
      </c>
      <c r="G13" s="23">
        <f>YT_ALL!G13/DMLMLR</f>
        <v>46.355899884369997</v>
      </c>
      <c r="H13" s="43"/>
      <c r="I13" s="43"/>
      <c r="J13" s="43"/>
      <c r="K13" s="43"/>
      <c r="L13" s="43"/>
      <c r="M13" s="43"/>
      <c r="N13" s="43"/>
      <c r="O13" s="43"/>
      <c r="P13" s="43"/>
      <c r="Q13" s="43"/>
    </row>
    <row r="14" spans="1:19" s="44" customFormat="1" x14ac:dyDescent="0.3">
      <c r="A14" s="118" t="str">
        <f>YT_ALL!A14</f>
        <v>Зовнішній борг</v>
      </c>
      <c r="B14" s="23">
        <f>YT_ALL!B14/DMLMLR</f>
        <v>57.205466601799998</v>
      </c>
      <c r="C14" s="23">
        <f>YT_ALL!C14/DMLMLR</f>
        <v>71.473331067700002</v>
      </c>
      <c r="D14" s="23">
        <f>YT_ALL!D14/DMLMLR</f>
        <v>101.70866387613</v>
      </c>
      <c r="E14" s="23">
        <f>YT_ALL!E14/DMLMLR</f>
        <v>120.09078008224</v>
      </c>
      <c r="F14" s="23">
        <f>YT_ALL!F14/DMLMLR</f>
        <v>165.40549464717</v>
      </c>
      <c r="G14" s="23">
        <f>YT_ALL!G14/DMLMLR</f>
        <v>169.19483610547999</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17"/>
      <c r="B17" s="17">
        <f>YT_ALL!B17</f>
        <v>44561</v>
      </c>
      <c r="C17" s="17">
        <f>YT_ALL!C17</f>
        <v>44926</v>
      </c>
      <c r="D17" s="17">
        <f>YT_ALL!D17</f>
        <v>45291</v>
      </c>
      <c r="E17" s="17">
        <f>YT_ALL!E17</f>
        <v>45657</v>
      </c>
      <c r="F17" s="17">
        <f>YT_ALL!F17</f>
        <v>46022</v>
      </c>
      <c r="G17" s="17">
        <f>YT_ALL!G17</f>
        <v>46265</v>
      </c>
      <c r="H17" s="18"/>
      <c r="I17" s="18"/>
      <c r="J17" s="18"/>
      <c r="K17" s="18"/>
      <c r="L17" s="18"/>
      <c r="M17" s="18"/>
      <c r="N17" s="18"/>
      <c r="O17" s="18"/>
      <c r="P17" s="18"/>
      <c r="Q17" s="18"/>
      <c r="R17" s="18"/>
      <c r="S17" s="18"/>
    </row>
    <row r="18" spans="1:19" s="40" customFormat="1" x14ac:dyDescent="0.3">
      <c r="A18" s="163" t="str">
        <f>DEBT_TOTAL</f>
        <v>Загальна сума державного та гарантованого державою боргу</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x14ac:dyDescent="0.3">
      <c r="A19" s="118" t="str">
        <f>YT_ALL!A19</f>
        <v>Внутрішній борг</v>
      </c>
      <c r="B19" s="62">
        <f>YT_ALL!B19</f>
        <v>0.41600799999999999</v>
      </c>
      <c r="C19" s="62">
        <f>YT_ALL!C19</f>
        <v>0.35869600000000001</v>
      </c>
      <c r="D19" s="62">
        <f>YT_ALL!D19</f>
        <v>0.30010999999999999</v>
      </c>
      <c r="E19" s="62">
        <f>YT_ALL!E19</f>
        <v>0.27682200000000001</v>
      </c>
      <c r="F19" s="62">
        <f>YT_ALL!F19</f>
        <v>0.224657</v>
      </c>
      <c r="G19" s="62">
        <f>YT_ALL!G19</f>
        <v>0.215058</v>
      </c>
      <c r="H19" s="43"/>
      <c r="I19" s="43"/>
      <c r="J19" s="43"/>
      <c r="K19" s="43"/>
      <c r="L19" s="43"/>
      <c r="M19" s="43"/>
      <c r="N19" s="43"/>
      <c r="O19" s="43"/>
      <c r="P19" s="43"/>
      <c r="Q19" s="43"/>
    </row>
    <row r="20" spans="1:19" s="44" customFormat="1" x14ac:dyDescent="0.3">
      <c r="A20" s="118" t="str">
        <f>YT_ALL!A20</f>
        <v>Зовнішній борг</v>
      </c>
      <c r="B20" s="62">
        <f>YT_ALL!B20</f>
        <v>0.58399199999999996</v>
      </c>
      <c r="C20" s="62">
        <f>YT_ALL!C20</f>
        <v>0.64130399999999999</v>
      </c>
      <c r="D20" s="62">
        <f>YT_ALL!D20</f>
        <v>0.69989000000000001</v>
      </c>
      <c r="E20" s="62">
        <f>YT_ALL!E20</f>
        <v>0.72317799999999999</v>
      </c>
      <c r="F20" s="62">
        <f>YT_ALL!F20</f>
        <v>0.775343</v>
      </c>
      <c r="G20" s="62">
        <f>YT_ALL!G20</f>
        <v>0.78494200000000003</v>
      </c>
      <c r="H20" s="43"/>
      <c r="I20" s="43"/>
      <c r="J20" s="43"/>
      <c r="K20" s="43"/>
      <c r="L20" s="43"/>
      <c r="M20" s="43"/>
      <c r="N20" s="43"/>
      <c r="O20" s="43"/>
      <c r="P20" s="43"/>
      <c r="Q20" s="43"/>
    </row>
    <row r="21" spans="1:19" x14ac:dyDescent="0.3">
      <c r="A21" s="79"/>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0"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41">
    <tabColor indexed="50"/>
    <outlinePr applyStyles="1" summaryBelow="0"/>
    <pageSetUpPr fitToPage="1"/>
  </sheetPr>
  <dimension ref="A2:S247"/>
  <sheetViews>
    <sheetView zoomScaleNormal="100" workbookViewId="0">
      <selection activeCell="G10" sqref="G10"/>
    </sheetView>
  </sheetViews>
  <sheetFormatPr defaultColWidth="9.109375" defaultRowHeight="13.8" x14ac:dyDescent="0.3"/>
  <cols>
    <col min="1" max="1" width="52.6640625" style="26" bestFit="1" customWidth="1"/>
    <col min="2" max="7" width="11.6640625" style="26" customWidth="1"/>
    <col min="8" max="8" width="9.109375" style="26" customWidth="1"/>
    <col min="9" max="16384" width="9.109375" style="26"/>
  </cols>
  <sheetData>
    <row r="2" spans="1:19" ht="18" x14ac:dyDescent="0.35">
      <c r="A2" s="5" t="str">
        <f>DEBT_LAST_5_YEARS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4" spans="1:19" s="31" customFormat="1" x14ac:dyDescent="0.3">
      <c r="G4" s="161" t="str">
        <f>VALUAH</f>
        <v>млрд. грн</v>
      </c>
    </row>
    <row r="5" spans="1:19" s="18" customFormat="1" x14ac:dyDescent="0.25">
      <c r="A5" s="64"/>
      <c r="B5" s="17">
        <f>YT_ALL!B5</f>
        <v>44561</v>
      </c>
      <c r="C5" s="17">
        <f>YT_ALL!C5</f>
        <v>44926</v>
      </c>
      <c r="D5" s="17">
        <f>YT_ALL!D5</f>
        <v>45291</v>
      </c>
      <c r="E5" s="17">
        <f>YT_ALL!E5</f>
        <v>45657</v>
      </c>
      <c r="F5" s="17">
        <f>YT_ALL!F5</f>
        <v>46022</v>
      </c>
      <c r="G5" s="17">
        <f>YT_ALL!G5</f>
        <v>46265</v>
      </c>
    </row>
    <row r="6" spans="1:19" s="19" customFormat="1" x14ac:dyDescent="0.25">
      <c r="A6" s="163" t="str">
        <f>DEBT_TOTAL</f>
        <v>Загальна сума державного та гарантованого державою боргу</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9602.8930637009707</v>
      </c>
    </row>
    <row r="7" spans="1:19" s="42" customFormat="1" x14ac:dyDescent="0.25">
      <c r="A7" s="118" t="str">
        <f>YK_ALL!A7</f>
        <v>Державний борг</v>
      </c>
      <c r="B7" s="23">
        <f>YK_ALL!B7/DMLMLR</f>
        <v>2362.7201507571899</v>
      </c>
      <c r="C7" s="23">
        <f>YK_ALL!C7/DMLMLR</f>
        <v>3715.1336317660898</v>
      </c>
      <c r="D7" s="23">
        <f>YK_ALL!D7/DMLMLR</f>
        <v>5188.0907415274296</v>
      </c>
      <c r="E7" s="23">
        <f>YK_ALL!E7/DMLMLR</f>
        <v>6692.4747759279699</v>
      </c>
      <c r="F7" s="23">
        <f>YK_ALL!F7/DMLMLR</f>
        <v>8765.9940256002701</v>
      </c>
      <c r="G7" s="23">
        <f>YK_ALL!G7/DMLMLR</f>
        <v>9345.0806751427208</v>
      </c>
    </row>
    <row r="8" spans="1:19" s="42" customFormat="1" x14ac:dyDescent="0.25">
      <c r="A8" s="118" t="str">
        <f>YK_ALL!A8</f>
        <v>Гарантований державою борг</v>
      </c>
      <c r="B8" s="23">
        <f>YK_ALL!B8/DMLMLR</f>
        <v>309.33986955858001</v>
      </c>
      <c r="C8" s="23">
        <f>YK_ALL!C8/DMLMLR</f>
        <v>360.43420638318003</v>
      </c>
      <c r="D8" s="23">
        <f>YK_ALL!D8/DMLMLR</f>
        <v>331.54471708272001</v>
      </c>
      <c r="E8" s="23">
        <f>YK_ALL!E8/DMLMLR</f>
        <v>288.51110931761002</v>
      </c>
      <c r="F8" s="23">
        <f>YK_ALL!F8/DMLMLR</f>
        <v>276.68300234511997</v>
      </c>
      <c r="G8" s="23">
        <f>YK_ALL!G8/DMLMLR</f>
        <v>257.81238855825001</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161" t="str">
        <f>VALUSD</f>
        <v>млрд. дол. США</v>
      </c>
      <c r="H10" s="30"/>
      <c r="I10" s="30"/>
      <c r="J10" s="30"/>
      <c r="K10" s="30"/>
      <c r="L10" s="30"/>
      <c r="M10" s="30"/>
      <c r="N10" s="30"/>
      <c r="O10" s="30"/>
      <c r="P10" s="30"/>
      <c r="Q10" s="30"/>
    </row>
    <row r="11" spans="1:19" s="38" customFormat="1" x14ac:dyDescent="0.3">
      <c r="A11" s="117"/>
      <c r="B11" s="17">
        <f>YT_ALL!B11</f>
        <v>44561</v>
      </c>
      <c r="C11" s="17">
        <f>YT_ALL!C11</f>
        <v>44926</v>
      </c>
      <c r="D11" s="17">
        <f>YT_ALL!D11</f>
        <v>45291</v>
      </c>
      <c r="E11" s="17">
        <f>YT_ALL!E11</f>
        <v>45657</v>
      </c>
      <c r="F11" s="17">
        <f>YT_ALL!F11</f>
        <v>46022</v>
      </c>
      <c r="G11" s="17">
        <f>YT_ALL!G11</f>
        <v>46265</v>
      </c>
      <c r="H11" s="18"/>
      <c r="I11" s="18"/>
      <c r="J11" s="18"/>
      <c r="K11" s="18"/>
      <c r="L11" s="18"/>
      <c r="M11" s="18"/>
      <c r="N11" s="18"/>
      <c r="O11" s="18"/>
      <c r="P11" s="18"/>
      <c r="Q11" s="18"/>
      <c r="R11" s="18"/>
      <c r="S11" s="18"/>
    </row>
    <row r="12" spans="1:19" s="40" customFormat="1" x14ac:dyDescent="0.3">
      <c r="A12" s="163" t="str">
        <f>DEBT_TOTAL</f>
        <v>Загальна сума державного та гарантованого державою боргу</v>
      </c>
      <c r="B12" s="116">
        <f t="shared" ref="B12:G12" si="1">SUM(B$13+ B$14)</f>
        <v>97.955877598960001</v>
      </c>
      <c r="C12" s="116">
        <f t="shared" si="1"/>
        <v>111.44992803012001</v>
      </c>
      <c r="D12" s="116">
        <f t="shared" si="1"/>
        <v>145.32087120892999</v>
      </c>
      <c r="E12" s="116">
        <f t="shared" si="1"/>
        <v>166.05975130831999</v>
      </c>
      <c r="F12" s="116">
        <f t="shared" si="1"/>
        <v>213.33206790508999</v>
      </c>
      <c r="G12" s="116">
        <f t="shared" si="1"/>
        <v>215.55073598984998</v>
      </c>
      <c r="H12" s="39"/>
      <c r="I12" s="39"/>
      <c r="J12" s="39"/>
      <c r="K12" s="39"/>
      <c r="L12" s="39"/>
      <c r="M12" s="39"/>
      <c r="N12" s="39"/>
      <c r="O12" s="39"/>
      <c r="P12" s="39"/>
      <c r="Q12" s="39"/>
    </row>
    <row r="13" spans="1:19" s="44" customFormat="1" x14ac:dyDescent="0.3">
      <c r="A13" s="118" t="str">
        <f>YK_ALL!A13</f>
        <v>Державний борг</v>
      </c>
      <c r="B13" s="23">
        <f>YK_ALL!B13/DMLMLR</f>
        <v>86.615691312519999</v>
      </c>
      <c r="C13" s="23">
        <f>YK_ALL!C13/DMLMLR</f>
        <v>101.59354286955001</v>
      </c>
      <c r="D13" s="23">
        <f>YK_ALL!D13/DMLMLR</f>
        <v>136.59196737238</v>
      </c>
      <c r="E13" s="23">
        <f>YK_ALL!E13/DMLMLR</f>
        <v>159.19681191119</v>
      </c>
      <c r="F13" s="23">
        <f>YK_ALL!F13/DMLMLR</f>
        <v>206.80464722402999</v>
      </c>
      <c r="G13" s="23">
        <f>YK_ALL!G13/DMLMLR</f>
        <v>209.76376640346999</v>
      </c>
      <c r="H13" s="43"/>
      <c r="I13" s="43"/>
      <c r="J13" s="43"/>
      <c r="K13" s="43"/>
      <c r="L13" s="43"/>
      <c r="M13" s="43"/>
      <c r="N13" s="43"/>
      <c r="O13" s="43"/>
      <c r="P13" s="43"/>
      <c r="Q13" s="43"/>
    </row>
    <row r="14" spans="1:19" s="44" customFormat="1" x14ac:dyDescent="0.3">
      <c r="A14" s="118" t="str">
        <f>YK_ALL!A14</f>
        <v>Гарантований державою борг</v>
      </c>
      <c r="B14" s="23">
        <f>YK_ALL!B14/DMLMLR</f>
        <v>11.34018628644</v>
      </c>
      <c r="C14" s="23">
        <f>YK_ALL!C14/DMLMLR</f>
        <v>9.8563851605699995</v>
      </c>
      <c r="D14" s="23">
        <f>YK_ALL!D14/DMLMLR</f>
        <v>8.7289038365499998</v>
      </c>
      <c r="E14" s="23">
        <f>YK_ALL!E14/DMLMLR</f>
        <v>6.8629393971299999</v>
      </c>
      <c r="F14" s="23">
        <f>YK_ALL!F14/DMLMLR</f>
        <v>6.5274206810599997</v>
      </c>
      <c r="G14" s="23">
        <f>YK_ALL!G14/DMLMLR</f>
        <v>5.7869695863799997</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17"/>
      <c r="B17" s="17">
        <f>YT_ALL!B17</f>
        <v>44561</v>
      </c>
      <c r="C17" s="17">
        <f>YT_ALL!C17</f>
        <v>44926</v>
      </c>
      <c r="D17" s="17">
        <f>YT_ALL!D17</f>
        <v>45291</v>
      </c>
      <c r="E17" s="17">
        <f>YT_ALL!E17</f>
        <v>45657</v>
      </c>
      <c r="F17" s="17">
        <f>YT_ALL!F17</f>
        <v>46022</v>
      </c>
      <c r="G17" s="17">
        <f>YT_ALL!G17</f>
        <v>46265</v>
      </c>
      <c r="H17" s="18"/>
      <c r="I17" s="18"/>
      <c r="J17" s="18"/>
      <c r="K17" s="18"/>
      <c r="L17" s="18"/>
      <c r="M17" s="18"/>
      <c r="N17" s="18"/>
      <c r="O17" s="18"/>
      <c r="P17" s="18"/>
      <c r="Q17" s="18"/>
      <c r="R17" s="18"/>
      <c r="S17" s="18"/>
    </row>
    <row r="18" spans="1:19" s="40" customFormat="1" x14ac:dyDescent="0.3">
      <c r="A18" s="163" t="str">
        <f>DEBT_TOTAL</f>
        <v>Загальна сума державного та гарантованого державою боргу</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x14ac:dyDescent="0.3">
      <c r="A19" s="118" t="str">
        <f>YK_ALL!A19</f>
        <v>Державний борг</v>
      </c>
      <c r="B19" s="23">
        <f>YK_ALL!B19</f>
        <v>0.88423200000000002</v>
      </c>
      <c r="C19" s="23">
        <f>YK_ALL!C19</f>
        <v>0.91156199999999998</v>
      </c>
      <c r="D19" s="23">
        <f>YK_ALL!D19</f>
        <v>0.93993400000000005</v>
      </c>
      <c r="E19" s="23">
        <f>YK_ALL!E19</f>
        <v>0.95867199999999997</v>
      </c>
      <c r="F19" s="23">
        <f>YK_ALL!F19</f>
        <v>0.96940300000000001</v>
      </c>
      <c r="G19" s="23">
        <f>YK_ALL!G19</f>
        <v>0.97315300000000005</v>
      </c>
      <c r="H19" s="43"/>
      <c r="I19" s="43"/>
      <c r="J19" s="43"/>
      <c r="K19" s="43"/>
      <c r="L19" s="43"/>
      <c r="M19" s="43"/>
      <c r="N19" s="43"/>
      <c r="O19" s="43"/>
      <c r="P19" s="43"/>
      <c r="Q19" s="43"/>
    </row>
    <row r="20" spans="1:19" s="44" customFormat="1" x14ac:dyDescent="0.3">
      <c r="A20" s="118" t="str">
        <f>YK_ALL!A20</f>
        <v>Гарантований державою борг</v>
      </c>
      <c r="B20" s="23">
        <f>YK_ALL!B20</f>
        <v>0.115768</v>
      </c>
      <c r="C20" s="23">
        <f>YK_ALL!C20</f>
        <v>8.8438000000000003E-2</v>
      </c>
      <c r="D20" s="23">
        <f>YK_ALL!D20</f>
        <v>6.0066000000000001E-2</v>
      </c>
      <c r="E20" s="23">
        <f>YK_ALL!E20</f>
        <v>4.1327999999999997E-2</v>
      </c>
      <c r="F20" s="23">
        <f>YK_ALL!F20</f>
        <v>3.0596999999999999E-2</v>
      </c>
      <c r="G20" s="23">
        <f>YK_ALL!G20</f>
        <v>2.6846999999999999E-2</v>
      </c>
      <c r="H20" s="43"/>
      <c r="I20" s="43"/>
      <c r="J20" s="43"/>
      <c r="K20" s="43"/>
      <c r="L20" s="43"/>
      <c r="M20" s="43"/>
      <c r="N20" s="43"/>
      <c r="O20" s="43"/>
      <c r="P20" s="43"/>
      <c r="Q20" s="43"/>
    </row>
    <row r="21" spans="1:19" x14ac:dyDescent="0.3">
      <c r="A21" s="79"/>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0"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40">
    <tabColor indexed="50"/>
    <outlinePr applyStyles="1" summaryBelow="0"/>
    <pageSetUpPr fitToPage="1"/>
  </sheetPr>
  <dimension ref="A2:S247"/>
  <sheetViews>
    <sheetView workbookViewId="0">
      <selection activeCell="G10" sqref="G10"/>
    </sheetView>
  </sheetViews>
  <sheetFormatPr defaultColWidth="9.109375" defaultRowHeight="13.8" outlineLevelRow="1" x14ac:dyDescent="0.3"/>
  <cols>
    <col min="1" max="1" width="52.6640625" style="26" bestFit="1" customWidth="1"/>
    <col min="2" max="3" width="13.5546875" style="26" bestFit="1" customWidth="1"/>
    <col min="4" max="4" width="14" style="26" bestFit="1" customWidth="1"/>
    <col min="5" max="7" width="14.5546875" style="26" bestFit="1" customWidth="1"/>
    <col min="8" max="8" width="9.109375" style="26" customWidth="1"/>
    <col min="9" max="16384" width="9.109375" style="26"/>
  </cols>
  <sheetData>
    <row r="2" spans="1:19" ht="18" x14ac:dyDescent="0.35">
      <c r="A2" s="5" t="str">
        <f>DEBT_LAST_5_YEARS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G4" s="31" t="str">
        <f>VALUAH</f>
        <v>млрд. грн</v>
      </c>
    </row>
    <row r="5" spans="1:19" s="18" customFormat="1" x14ac:dyDescent="0.25">
      <c r="A5" s="16"/>
      <c r="B5" s="17">
        <v>44561</v>
      </c>
      <c r="C5" s="17">
        <v>44926</v>
      </c>
      <c r="D5" s="17">
        <v>45291</v>
      </c>
      <c r="E5" s="17">
        <v>45657</v>
      </c>
      <c r="F5" s="17">
        <v>46022</v>
      </c>
      <c r="G5" s="17">
        <v>46265</v>
      </c>
    </row>
    <row r="6" spans="1:19" s="19" customFormat="1" x14ac:dyDescent="0.25">
      <c r="A6" s="163" t="str">
        <f>DEBT_TOTAL</f>
        <v>Загальна сума державного та гарантованого державою боргу</v>
      </c>
      <c r="B6" s="116">
        <f t="shared" ref="B6:G6" si="0">SUM(B$7+ B$8)</f>
        <v>2672.0600203157701</v>
      </c>
      <c r="C6" s="116">
        <f t="shared" si="0"/>
        <v>4075.5678381492698</v>
      </c>
      <c r="D6" s="116">
        <f t="shared" si="0"/>
        <v>5519.6354586101497</v>
      </c>
      <c r="E6" s="116">
        <f t="shared" si="0"/>
        <v>6980.98588524558</v>
      </c>
      <c r="F6" s="116">
        <f t="shared" si="0"/>
        <v>9042.6770279453904</v>
      </c>
      <c r="G6" s="116">
        <f t="shared" si="0"/>
        <v>9602.8930637009707</v>
      </c>
    </row>
    <row r="7" spans="1:19" s="42" customFormat="1" outlineLevel="1" x14ac:dyDescent="0.25">
      <c r="A7" s="174" t="s">
        <v>1</v>
      </c>
      <c r="B7" s="180">
        <v>2362.7201507571899</v>
      </c>
      <c r="C7" s="180">
        <v>3715.1336317660898</v>
      </c>
      <c r="D7" s="180">
        <v>5188.0907415274296</v>
      </c>
      <c r="E7" s="180">
        <v>6692.4747759279699</v>
      </c>
      <c r="F7" s="180">
        <v>8765.9940256002701</v>
      </c>
      <c r="G7" s="180">
        <v>9345.0806751427208</v>
      </c>
    </row>
    <row r="8" spans="1:19" s="42" customFormat="1" outlineLevel="1" x14ac:dyDescent="0.25">
      <c r="A8" s="174" t="s">
        <v>2</v>
      </c>
      <c r="B8" s="180">
        <v>309.33986955858001</v>
      </c>
      <c r="C8" s="180">
        <v>360.43420638318003</v>
      </c>
      <c r="D8" s="180">
        <v>331.54471708272001</v>
      </c>
      <c r="E8" s="180">
        <v>288.51110931761002</v>
      </c>
      <c r="F8" s="180">
        <v>276.68300234511997</v>
      </c>
      <c r="G8" s="180">
        <v>257.81238855825001</v>
      </c>
    </row>
    <row r="9" spans="1:19" x14ac:dyDescent="0.3">
      <c r="B9" s="30"/>
      <c r="C9" s="30"/>
      <c r="D9" s="30"/>
      <c r="E9" s="30"/>
      <c r="F9" s="30"/>
      <c r="G9" s="30"/>
      <c r="H9" s="30"/>
      <c r="I9" s="30"/>
      <c r="J9" s="30"/>
      <c r="K9" s="30"/>
      <c r="L9" s="30"/>
      <c r="M9" s="30"/>
      <c r="N9" s="30"/>
      <c r="O9" s="30"/>
      <c r="P9" s="30"/>
      <c r="Q9" s="30"/>
    </row>
    <row r="10" spans="1:19" x14ac:dyDescent="0.3">
      <c r="B10" s="30"/>
      <c r="C10" s="30"/>
      <c r="D10" s="30"/>
      <c r="E10" s="30"/>
      <c r="F10" s="30"/>
      <c r="G10" s="31" t="str">
        <f>VALUSD</f>
        <v>млрд. дол. США</v>
      </c>
      <c r="H10" s="30"/>
      <c r="I10" s="30"/>
      <c r="J10" s="30"/>
      <c r="K10" s="30"/>
      <c r="L10" s="30"/>
      <c r="M10" s="30"/>
      <c r="N10" s="30"/>
      <c r="O10" s="30"/>
      <c r="P10" s="30"/>
      <c r="Q10" s="30"/>
    </row>
    <row r="11" spans="1:19" s="38" customFormat="1" x14ac:dyDescent="0.3">
      <c r="A11" s="16"/>
      <c r="B11" s="17">
        <v>44561</v>
      </c>
      <c r="C11" s="17">
        <v>44926</v>
      </c>
      <c r="D11" s="17">
        <v>45291</v>
      </c>
      <c r="E11" s="17">
        <v>45657</v>
      </c>
      <c r="F11" s="17">
        <v>46022</v>
      </c>
      <c r="G11" s="17">
        <v>46265</v>
      </c>
      <c r="H11" s="18"/>
      <c r="I11" s="18"/>
      <c r="J11" s="18"/>
      <c r="K11" s="18"/>
      <c r="L11" s="18"/>
      <c r="M11" s="18"/>
      <c r="N11" s="18"/>
      <c r="O11" s="18"/>
      <c r="P11" s="18"/>
      <c r="Q11" s="18"/>
      <c r="R11" s="18"/>
      <c r="S11" s="18"/>
    </row>
    <row r="12" spans="1:19" s="40" customFormat="1" x14ac:dyDescent="0.3">
      <c r="A12" s="163" t="str">
        <f>DEBT_TOTAL</f>
        <v>Загальна сума державного та гарантованого державою боргу</v>
      </c>
      <c r="B12" s="116">
        <f t="shared" ref="B12:G12" si="1">SUM(B$13+ B$14)</f>
        <v>97.955877598960001</v>
      </c>
      <c r="C12" s="116">
        <f t="shared" si="1"/>
        <v>111.44992803012001</v>
      </c>
      <c r="D12" s="116">
        <f t="shared" si="1"/>
        <v>145.32087120892999</v>
      </c>
      <c r="E12" s="116">
        <f t="shared" si="1"/>
        <v>166.05975130831999</v>
      </c>
      <c r="F12" s="116">
        <f t="shared" si="1"/>
        <v>213.33206790508999</v>
      </c>
      <c r="G12" s="116">
        <f t="shared" si="1"/>
        <v>215.55073598984998</v>
      </c>
      <c r="H12" s="39"/>
      <c r="I12" s="39"/>
      <c r="J12" s="39"/>
      <c r="K12" s="39"/>
      <c r="L12" s="39"/>
      <c r="M12" s="39"/>
      <c r="N12" s="39"/>
      <c r="O12" s="39"/>
      <c r="P12" s="39"/>
      <c r="Q12" s="39"/>
    </row>
    <row r="13" spans="1:19" s="44" customFormat="1" outlineLevel="1" x14ac:dyDescent="0.3">
      <c r="A13" s="174" t="s">
        <v>1</v>
      </c>
      <c r="B13" s="175">
        <v>86.615691312519999</v>
      </c>
      <c r="C13" s="175">
        <v>101.59354286955001</v>
      </c>
      <c r="D13" s="175">
        <v>136.59196737238</v>
      </c>
      <c r="E13" s="175">
        <v>159.19681191119</v>
      </c>
      <c r="F13" s="175">
        <v>206.80464722402999</v>
      </c>
      <c r="G13" s="175">
        <v>209.76376640346999</v>
      </c>
      <c r="H13" s="43"/>
      <c r="I13" s="43"/>
      <c r="J13" s="43"/>
      <c r="K13" s="43"/>
      <c r="L13" s="43"/>
      <c r="M13" s="43"/>
      <c r="N13" s="43"/>
      <c r="O13" s="43"/>
      <c r="P13" s="43"/>
      <c r="Q13" s="43"/>
    </row>
    <row r="14" spans="1:19" s="44" customFormat="1" outlineLevel="1" x14ac:dyDescent="0.3">
      <c r="A14" s="174" t="s">
        <v>2</v>
      </c>
      <c r="B14" s="175">
        <v>11.34018628644</v>
      </c>
      <c r="C14" s="175">
        <v>9.8563851605699995</v>
      </c>
      <c r="D14" s="175">
        <v>8.7289038365499998</v>
      </c>
      <c r="E14" s="175">
        <v>6.8629393971299999</v>
      </c>
      <c r="F14" s="175">
        <v>6.5274206810599997</v>
      </c>
      <c r="G14" s="175">
        <v>5.7869695863799997</v>
      </c>
      <c r="H14" s="43"/>
      <c r="I14" s="43"/>
      <c r="J14" s="43"/>
      <c r="K14" s="43"/>
      <c r="L14" s="43"/>
      <c r="M14" s="43"/>
      <c r="N14" s="43"/>
      <c r="O14" s="43"/>
      <c r="P14" s="43"/>
      <c r="Q14" s="43"/>
    </row>
    <row r="15" spans="1:19" x14ac:dyDescent="0.3">
      <c r="B15" s="30"/>
      <c r="C15" s="30"/>
      <c r="D15" s="30"/>
      <c r="E15" s="30"/>
      <c r="F15" s="30"/>
      <c r="G15" s="30"/>
      <c r="H15" s="30"/>
      <c r="I15" s="30"/>
      <c r="J15" s="30"/>
      <c r="K15" s="30"/>
      <c r="L15" s="30"/>
      <c r="M15" s="30"/>
      <c r="N15" s="30"/>
      <c r="O15" s="30"/>
      <c r="P15" s="30"/>
      <c r="Q15" s="30"/>
    </row>
    <row r="16" spans="1:19" s="115" customFormat="1" x14ac:dyDescent="0.3">
      <c r="G16" s="41" t="s">
        <v>0</v>
      </c>
    </row>
    <row r="17" spans="1:19" s="38" customFormat="1" x14ac:dyDescent="0.3">
      <c r="A17" s="16"/>
      <c r="B17" s="17">
        <v>44561</v>
      </c>
      <c r="C17" s="17">
        <v>44926</v>
      </c>
      <c r="D17" s="17">
        <v>45291</v>
      </c>
      <c r="E17" s="17">
        <v>45657</v>
      </c>
      <c r="F17" s="17">
        <v>46022</v>
      </c>
      <c r="G17" s="17">
        <v>46265</v>
      </c>
      <c r="H17" s="18"/>
      <c r="I17" s="18"/>
      <c r="J17" s="18"/>
      <c r="K17" s="18"/>
      <c r="L17" s="18"/>
      <c r="M17" s="18"/>
      <c r="N17" s="18"/>
      <c r="O17" s="18"/>
      <c r="P17" s="18"/>
      <c r="Q17" s="18"/>
      <c r="R17" s="18"/>
      <c r="S17" s="18"/>
    </row>
    <row r="18" spans="1:19" s="40" customFormat="1" x14ac:dyDescent="0.3">
      <c r="A18" s="163" t="str">
        <f>DEBT_TOTAL</f>
        <v>Загальна сума державного та гарантованого державою боргу</v>
      </c>
      <c r="B18" s="116">
        <f t="shared" ref="B18:G18" si="2">SUM(B$19+ B$20)</f>
        <v>1</v>
      </c>
      <c r="C18" s="116">
        <f t="shared" si="2"/>
        <v>1</v>
      </c>
      <c r="D18" s="116">
        <f t="shared" si="2"/>
        <v>1</v>
      </c>
      <c r="E18" s="116">
        <f t="shared" si="2"/>
        <v>1</v>
      </c>
      <c r="F18" s="116">
        <f t="shared" si="2"/>
        <v>1</v>
      </c>
      <c r="G18" s="116">
        <f t="shared" si="2"/>
        <v>1</v>
      </c>
      <c r="H18" s="39"/>
      <c r="I18" s="39"/>
      <c r="J18" s="39"/>
      <c r="K18" s="39"/>
      <c r="L18" s="39"/>
      <c r="M18" s="39"/>
      <c r="N18" s="39"/>
      <c r="O18" s="39"/>
      <c r="P18" s="39"/>
      <c r="Q18" s="39"/>
    </row>
    <row r="19" spans="1:19" s="44" customFormat="1" outlineLevel="1" x14ac:dyDescent="0.3">
      <c r="A19" s="174" t="s">
        <v>1</v>
      </c>
      <c r="B19" s="178">
        <v>0.88423200000000002</v>
      </c>
      <c r="C19" s="178">
        <v>0.91156199999999998</v>
      </c>
      <c r="D19" s="178">
        <v>0.93993400000000005</v>
      </c>
      <c r="E19" s="178">
        <v>0.95867199999999997</v>
      </c>
      <c r="F19" s="178">
        <v>0.96940300000000001</v>
      </c>
      <c r="G19" s="178">
        <v>0.97315300000000005</v>
      </c>
      <c r="H19" s="43"/>
      <c r="I19" s="43"/>
      <c r="J19" s="43"/>
      <c r="K19" s="43"/>
      <c r="L19" s="43"/>
      <c r="M19" s="43"/>
      <c r="N19" s="43"/>
      <c r="O19" s="43"/>
      <c r="P19" s="43"/>
      <c r="Q19" s="43"/>
    </row>
    <row r="20" spans="1:19" s="44" customFormat="1" outlineLevel="1" x14ac:dyDescent="0.3">
      <c r="A20" s="174" t="s">
        <v>2</v>
      </c>
      <c r="B20" s="178">
        <v>0.115768</v>
      </c>
      <c r="C20" s="178">
        <v>8.8438000000000003E-2</v>
      </c>
      <c r="D20" s="178">
        <v>6.0066000000000001E-2</v>
      </c>
      <c r="E20" s="178">
        <v>4.1327999999999997E-2</v>
      </c>
      <c r="F20" s="178">
        <v>3.0596999999999999E-2</v>
      </c>
      <c r="G20" s="178">
        <v>2.6846999999999999E-2</v>
      </c>
      <c r="H20" s="43"/>
      <c r="I20" s="43"/>
      <c r="J20" s="43"/>
      <c r="K20" s="43"/>
      <c r="L20" s="43"/>
      <c r="M20" s="43"/>
      <c r="N20" s="43"/>
      <c r="O20" s="43"/>
      <c r="P20" s="43"/>
      <c r="Q20" s="43"/>
    </row>
    <row r="21" spans="1:19" x14ac:dyDescent="0.3">
      <c r="B21" s="30"/>
      <c r="C21" s="30"/>
      <c r="D21" s="30"/>
      <c r="E21" s="30"/>
      <c r="F21" s="30"/>
      <c r="G21" s="30"/>
      <c r="H21" s="30"/>
      <c r="I21" s="30"/>
      <c r="J21" s="30"/>
      <c r="K21" s="30"/>
      <c r="L21" s="30"/>
      <c r="M21" s="30"/>
      <c r="N21" s="30"/>
      <c r="O21" s="30"/>
      <c r="P21" s="30"/>
      <c r="Q21" s="30"/>
    </row>
    <row r="22" spans="1:19" x14ac:dyDescent="0.3">
      <c r="B22" s="30"/>
      <c r="C22" s="30"/>
      <c r="D22" s="30"/>
      <c r="E22" s="30"/>
      <c r="F22" s="30"/>
      <c r="G22" s="30"/>
      <c r="H22" s="30"/>
      <c r="I22" s="30"/>
      <c r="J22" s="30"/>
      <c r="K22" s="30"/>
      <c r="L22" s="30"/>
      <c r="M22" s="30"/>
      <c r="N22" s="30"/>
      <c r="O22" s="30"/>
      <c r="P22" s="30"/>
      <c r="Q22" s="30"/>
    </row>
    <row r="23" spans="1:19" x14ac:dyDescent="0.3">
      <c r="B23" s="30"/>
      <c r="C23" s="30"/>
      <c r="D23" s="30"/>
      <c r="E23" s="30"/>
      <c r="F23" s="30"/>
      <c r="G23" s="30"/>
      <c r="H23" s="30"/>
      <c r="I23" s="30"/>
      <c r="J23" s="30"/>
      <c r="K23" s="30"/>
      <c r="L23" s="30"/>
      <c r="M23" s="30"/>
      <c r="N23" s="30"/>
      <c r="O23" s="30"/>
      <c r="P23" s="30"/>
      <c r="Q23" s="30"/>
    </row>
    <row r="24" spans="1:19" x14ac:dyDescent="0.3">
      <c r="B24" s="30"/>
      <c r="C24" s="30"/>
      <c r="D24" s="30"/>
      <c r="E24" s="30"/>
      <c r="F24" s="30"/>
      <c r="G24" s="30"/>
      <c r="H24" s="30"/>
      <c r="I24" s="30"/>
      <c r="J24" s="30"/>
      <c r="K24" s="30"/>
      <c r="L24" s="30"/>
      <c r="M24" s="30"/>
      <c r="N24" s="30"/>
      <c r="O24" s="30"/>
      <c r="P24" s="30"/>
      <c r="Q24" s="30"/>
    </row>
    <row r="25" spans="1:19" s="115" customFormat="1" x14ac:dyDescent="0.3"/>
    <row r="26" spans="1:19" x14ac:dyDescent="0.3">
      <c r="B26" s="30"/>
      <c r="C26" s="30"/>
      <c r="D26" s="30"/>
      <c r="E26" s="30"/>
      <c r="F26" s="30"/>
      <c r="G26" s="30"/>
      <c r="H26" s="30"/>
      <c r="I26" s="30"/>
      <c r="J26" s="30"/>
      <c r="K26" s="30"/>
      <c r="L26" s="30"/>
      <c r="M26" s="30"/>
      <c r="N26" s="30"/>
      <c r="O26" s="30"/>
      <c r="P26" s="30"/>
      <c r="Q26" s="30"/>
    </row>
    <row r="27" spans="1:19" x14ac:dyDescent="0.3">
      <c r="B27" s="30"/>
      <c r="C27" s="30"/>
      <c r="D27" s="30"/>
      <c r="E27" s="30"/>
      <c r="F27" s="30"/>
      <c r="G27" s="30"/>
      <c r="H27" s="30"/>
      <c r="I27" s="30"/>
      <c r="J27" s="30"/>
      <c r="K27" s="30"/>
      <c r="L27" s="30"/>
      <c r="M27" s="30"/>
      <c r="N27" s="30"/>
      <c r="O27" s="30"/>
      <c r="P27" s="30"/>
      <c r="Q27" s="30"/>
    </row>
    <row r="28" spans="1:19" x14ac:dyDescent="0.3">
      <c r="B28" s="30"/>
      <c r="C28" s="30"/>
      <c r="D28" s="30"/>
      <c r="E28" s="30"/>
      <c r="F28" s="30"/>
      <c r="G28" s="30"/>
      <c r="H28" s="30"/>
      <c r="I28" s="30"/>
      <c r="J28" s="30"/>
      <c r="K28" s="30"/>
      <c r="L28" s="30"/>
      <c r="M28" s="30"/>
      <c r="N28" s="30"/>
      <c r="O28" s="30"/>
      <c r="P28" s="30"/>
      <c r="Q28" s="30"/>
    </row>
    <row r="29" spans="1:19" x14ac:dyDescent="0.3">
      <c r="B29" s="30"/>
      <c r="C29" s="30"/>
      <c r="D29" s="30"/>
      <c r="E29" s="30"/>
      <c r="F29" s="30"/>
      <c r="G29" s="30"/>
      <c r="H29" s="30"/>
      <c r="I29" s="30"/>
      <c r="J29" s="30"/>
      <c r="K29" s="30"/>
      <c r="L29" s="30"/>
      <c r="M29" s="30"/>
      <c r="N29" s="30"/>
      <c r="O29" s="30"/>
      <c r="P29" s="30"/>
      <c r="Q29" s="30"/>
    </row>
    <row r="30" spans="1:19" x14ac:dyDescent="0.3">
      <c r="B30" s="30"/>
      <c r="C30" s="30"/>
      <c r="D30" s="30"/>
      <c r="E30" s="30"/>
      <c r="F30" s="30"/>
      <c r="G30" s="30"/>
      <c r="H30" s="30"/>
      <c r="I30" s="30"/>
      <c r="J30" s="30"/>
      <c r="K30" s="30"/>
      <c r="L30" s="30"/>
      <c r="M30" s="30"/>
      <c r="N30" s="30"/>
      <c r="O30" s="30"/>
      <c r="P30" s="30"/>
      <c r="Q30" s="30"/>
    </row>
    <row r="31" spans="1:19" x14ac:dyDescent="0.3">
      <c r="B31" s="30"/>
      <c r="C31" s="30"/>
      <c r="D31" s="30"/>
      <c r="E31" s="30"/>
      <c r="F31" s="30"/>
      <c r="G31" s="30"/>
      <c r="H31" s="30"/>
      <c r="I31" s="30"/>
      <c r="J31" s="30"/>
      <c r="K31" s="30"/>
      <c r="L31" s="30"/>
      <c r="M31" s="30"/>
      <c r="N31" s="30"/>
      <c r="O31" s="30"/>
      <c r="P31" s="30"/>
      <c r="Q31" s="30"/>
    </row>
    <row r="32" spans="1:19" x14ac:dyDescent="0.3">
      <c r="B32" s="30"/>
      <c r="C32" s="30"/>
      <c r="D32" s="30"/>
      <c r="E32" s="30"/>
      <c r="F32" s="30"/>
      <c r="G32" s="30"/>
      <c r="H32" s="30"/>
      <c r="I32" s="30"/>
      <c r="J32" s="30"/>
      <c r="K32" s="30"/>
      <c r="L32" s="30"/>
      <c r="M32" s="30"/>
      <c r="N32" s="30"/>
      <c r="O32" s="30"/>
      <c r="P32" s="30"/>
      <c r="Q32" s="30"/>
    </row>
    <row r="33" spans="2:17" x14ac:dyDescent="0.3">
      <c r="B33" s="30"/>
      <c r="C33" s="30"/>
      <c r="D33" s="30"/>
      <c r="E33" s="30"/>
      <c r="F33" s="30"/>
      <c r="G33" s="30"/>
      <c r="H33" s="30"/>
      <c r="I33" s="30"/>
      <c r="J33" s="30"/>
      <c r="K33" s="30"/>
      <c r="L33" s="30"/>
      <c r="M33" s="30"/>
      <c r="N33" s="30"/>
      <c r="O33" s="30"/>
      <c r="P33" s="30"/>
      <c r="Q33" s="30"/>
    </row>
    <row r="34" spans="2:17" x14ac:dyDescent="0.3">
      <c r="B34" s="30"/>
      <c r="C34" s="30"/>
      <c r="D34" s="30"/>
      <c r="E34" s="30"/>
      <c r="F34" s="30"/>
      <c r="G34" s="30"/>
      <c r="H34" s="30"/>
      <c r="I34" s="30"/>
      <c r="J34" s="30"/>
      <c r="K34" s="30"/>
      <c r="L34" s="30"/>
      <c r="M34" s="30"/>
      <c r="N34" s="30"/>
      <c r="O34" s="30"/>
      <c r="P34" s="30"/>
      <c r="Q34" s="30"/>
    </row>
    <row r="35" spans="2:17" x14ac:dyDescent="0.3">
      <c r="B35" s="30"/>
      <c r="C35" s="30"/>
      <c r="D35" s="30"/>
      <c r="E35" s="30"/>
      <c r="F35" s="30"/>
      <c r="G35" s="30"/>
      <c r="H35" s="30"/>
      <c r="I35" s="30"/>
      <c r="J35" s="30"/>
      <c r="K35" s="30"/>
      <c r="L35" s="30"/>
      <c r="M35" s="30"/>
      <c r="N35" s="30"/>
      <c r="O35" s="30"/>
      <c r="P35" s="30"/>
      <c r="Q35" s="30"/>
    </row>
    <row r="36" spans="2:17" x14ac:dyDescent="0.3">
      <c r="B36" s="30"/>
      <c r="C36" s="30"/>
      <c r="D36" s="30"/>
      <c r="E36" s="30"/>
      <c r="F36" s="30"/>
      <c r="G36" s="30"/>
      <c r="H36" s="30"/>
      <c r="I36" s="30"/>
      <c r="J36" s="30"/>
      <c r="K36" s="30"/>
      <c r="L36" s="30"/>
      <c r="M36" s="30"/>
      <c r="N36" s="30"/>
      <c r="O36" s="30"/>
      <c r="P36" s="30"/>
      <c r="Q36" s="30"/>
    </row>
    <row r="37" spans="2:17" x14ac:dyDescent="0.3">
      <c r="B37" s="30"/>
      <c r="C37" s="30"/>
      <c r="D37" s="30"/>
      <c r="E37" s="30"/>
      <c r="F37" s="30"/>
      <c r="G37" s="30"/>
      <c r="H37" s="30"/>
      <c r="I37" s="30"/>
      <c r="J37" s="30"/>
      <c r="K37" s="30"/>
      <c r="L37" s="30"/>
      <c r="M37" s="30"/>
      <c r="N37" s="30"/>
      <c r="O37" s="30"/>
      <c r="P37" s="30"/>
      <c r="Q37" s="30"/>
    </row>
    <row r="38" spans="2:17" x14ac:dyDescent="0.3">
      <c r="B38" s="30"/>
      <c r="C38" s="30"/>
      <c r="D38" s="30"/>
      <c r="E38" s="30"/>
      <c r="F38" s="30"/>
      <c r="G38" s="30"/>
      <c r="H38" s="30"/>
      <c r="I38" s="30"/>
      <c r="J38" s="30"/>
      <c r="K38" s="30"/>
      <c r="L38" s="30"/>
      <c r="M38" s="30"/>
      <c r="N38" s="30"/>
      <c r="O38" s="30"/>
      <c r="P38" s="30"/>
      <c r="Q38" s="30"/>
    </row>
    <row r="39" spans="2:17" x14ac:dyDescent="0.3">
      <c r="B39" s="30"/>
      <c r="C39" s="30"/>
      <c r="D39" s="30"/>
      <c r="E39" s="30"/>
      <c r="F39" s="30"/>
      <c r="G39" s="30"/>
      <c r="H39" s="30"/>
      <c r="I39" s="30"/>
      <c r="J39" s="30"/>
      <c r="K39" s="30"/>
      <c r="L39" s="30"/>
      <c r="M39" s="30"/>
      <c r="N39" s="30"/>
      <c r="O39" s="30"/>
      <c r="P39" s="30"/>
      <c r="Q39" s="30"/>
    </row>
    <row r="40" spans="2:17" x14ac:dyDescent="0.3">
      <c r="B40" s="30"/>
      <c r="C40" s="30"/>
      <c r="D40" s="30"/>
      <c r="E40" s="30"/>
      <c r="F40" s="30"/>
      <c r="G40" s="30"/>
      <c r="H40" s="30"/>
      <c r="I40" s="30"/>
      <c r="J40" s="30"/>
      <c r="K40" s="30"/>
      <c r="L40" s="30"/>
      <c r="M40" s="30"/>
      <c r="N40" s="30"/>
      <c r="O40" s="30"/>
      <c r="P40" s="30"/>
      <c r="Q40" s="30"/>
    </row>
    <row r="41" spans="2:17" x14ac:dyDescent="0.3">
      <c r="B41" s="30"/>
      <c r="C41" s="30"/>
      <c r="D41" s="30"/>
      <c r="E41" s="30"/>
      <c r="F41" s="30"/>
      <c r="G41" s="30"/>
      <c r="H41" s="30"/>
      <c r="I41" s="30"/>
      <c r="J41" s="30"/>
      <c r="K41" s="30"/>
      <c r="L41" s="30"/>
      <c r="M41" s="30"/>
      <c r="N41" s="30"/>
      <c r="O41" s="30"/>
      <c r="P41" s="30"/>
      <c r="Q41" s="30"/>
    </row>
    <row r="42" spans="2:17" x14ac:dyDescent="0.3">
      <c r="B42" s="30"/>
      <c r="C42" s="30"/>
      <c r="D42" s="30"/>
      <c r="E42" s="30"/>
      <c r="F42" s="30"/>
      <c r="G42" s="30"/>
      <c r="H42" s="30"/>
      <c r="I42" s="30"/>
      <c r="J42" s="30"/>
      <c r="K42" s="30"/>
      <c r="L42" s="30"/>
      <c r="M42" s="30"/>
      <c r="N42" s="30"/>
      <c r="O42" s="30"/>
      <c r="P42" s="30"/>
      <c r="Q42" s="30"/>
    </row>
    <row r="43" spans="2:17" x14ac:dyDescent="0.3">
      <c r="B43" s="30"/>
      <c r="C43" s="30"/>
      <c r="D43" s="30"/>
      <c r="E43" s="30"/>
      <c r="F43" s="30"/>
      <c r="G43" s="30"/>
      <c r="H43" s="30"/>
      <c r="I43" s="30"/>
      <c r="J43" s="30"/>
      <c r="K43" s="30"/>
      <c r="L43" s="30"/>
      <c r="M43" s="30"/>
      <c r="N43" s="30"/>
      <c r="O43" s="30"/>
      <c r="P43" s="30"/>
      <c r="Q43" s="30"/>
    </row>
    <row r="44" spans="2:17" x14ac:dyDescent="0.3">
      <c r="B44" s="30"/>
      <c r="C44" s="30"/>
      <c r="D44" s="30"/>
      <c r="E44" s="30"/>
      <c r="F44" s="30"/>
      <c r="G44" s="30"/>
      <c r="H44" s="30"/>
      <c r="I44" s="30"/>
      <c r="J44" s="30"/>
      <c r="K44" s="30"/>
      <c r="L44" s="30"/>
      <c r="M44" s="30"/>
      <c r="N44" s="30"/>
      <c r="O44" s="30"/>
      <c r="P44" s="30"/>
      <c r="Q44" s="30"/>
    </row>
    <row r="45" spans="2:17" x14ac:dyDescent="0.3">
      <c r="B45" s="30"/>
      <c r="C45" s="30"/>
      <c r="D45" s="30"/>
      <c r="E45" s="30"/>
      <c r="F45" s="30"/>
      <c r="G45" s="30"/>
      <c r="H45" s="30"/>
      <c r="I45" s="30"/>
      <c r="J45" s="30"/>
      <c r="K45" s="30"/>
      <c r="L45" s="30"/>
      <c r="M45" s="30"/>
      <c r="N45" s="30"/>
      <c r="O45" s="30"/>
      <c r="P45" s="30"/>
      <c r="Q45" s="30"/>
    </row>
    <row r="46" spans="2:17" x14ac:dyDescent="0.3">
      <c r="B46" s="30"/>
      <c r="C46" s="30"/>
      <c r="D46" s="30"/>
      <c r="E46" s="30"/>
      <c r="F46" s="30"/>
      <c r="G46" s="30"/>
      <c r="H46" s="30"/>
      <c r="I46" s="30"/>
      <c r="J46" s="30"/>
      <c r="K46" s="30"/>
      <c r="L46" s="30"/>
      <c r="M46" s="30"/>
      <c r="N46" s="30"/>
      <c r="O46" s="30"/>
      <c r="P46" s="30"/>
      <c r="Q46" s="30"/>
    </row>
    <row r="47" spans="2:17" x14ac:dyDescent="0.3">
      <c r="B47" s="30"/>
      <c r="C47" s="30"/>
      <c r="D47" s="30"/>
      <c r="E47" s="30"/>
      <c r="F47" s="30"/>
      <c r="G47" s="30"/>
      <c r="H47" s="30"/>
      <c r="I47" s="30"/>
      <c r="J47" s="30"/>
      <c r="K47" s="30"/>
      <c r="L47" s="30"/>
      <c r="M47" s="30"/>
      <c r="N47" s="30"/>
      <c r="O47" s="30"/>
      <c r="P47" s="30"/>
      <c r="Q47" s="30"/>
    </row>
    <row r="48" spans="2:17" x14ac:dyDescent="0.3">
      <c r="B48" s="30"/>
      <c r="C48" s="30"/>
      <c r="D48" s="30"/>
      <c r="E48" s="30"/>
      <c r="F48" s="30"/>
      <c r="G48" s="30"/>
      <c r="H48" s="30"/>
      <c r="I48" s="30"/>
      <c r="J48" s="30"/>
      <c r="K48" s="30"/>
      <c r="L48" s="30"/>
      <c r="M48" s="30"/>
      <c r="N48" s="30"/>
      <c r="O48" s="30"/>
      <c r="P48" s="30"/>
      <c r="Q48" s="30"/>
    </row>
    <row r="49" spans="2:17" x14ac:dyDescent="0.3">
      <c r="B49" s="30"/>
      <c r="C49" s="30"/>
      <c r="D49" s="30"/>
      <c r="E49" s="30"/>
      <c r="F49" s="30"/>
      <c r="G49" s="30"/>
      <c r="H49" s="30"/>
      <c r="I49" s="30"/>
      <c r="J49" s="30"/>
      <c r="K49" s="30"/>
      <c r="L49" s="30"/>
      <c r="M49" s="30"/>
      <c r="N49" s="30"/>
      <c r="O49" s="30"/>
      <c r="P49" s="30"/>
      <c r="Q49" s="30"/>
    </row>
    <row r="50" spans="2:17" x14ac:dyDescent="0.3">
      <c r="B50" s="30"/>
      <c r="C50" s="30"/>
      <c r="D50" s="30"/>
      <c r="E50" s="30"/>
      <c r="F50" s="30"/>
      <c r="G50" s="30"/>
      <c r="H50" s="30"/>
      <c r="I50" s="30"/>
      <c r="J50" s="30"/>
      <c r="K50" s="30"/>
      <c r="L50" s="30"/>
      <c r="M50" s="30"/>
      <c r="N50" s="30"/>
      <c r="O50" s="30"/>
      <c r="P50" s="30"/>
      <c r="Q50" s="30"/>
    </row>
    <row r="51" spans="2:17" x14ac:dyDescent="0.3">
      <c r="B51" s="30"/>
      <c r="C51" s="30"/>
      <c r="D51" s="30"/>
      <c r="E51" s="30"/>
      <c r="F51" s="30"/>
      <c r="G51" s="30"/>
      <c r="H51" s="30"/>
      <c r="I51" s="30"/>
      <c r="J51" s="30"/>
      <c r="K51" s="30"/>
      <c r="L51" s="30"/>
      <c r="M51" s="30"/>
      <c r="N51" s="30"/>
      <c r="O51" s="30"/>
      <c r="P51" s="30"/>
      <c r="Q51" s="30"/>
    </row>
    <row r="52" spans="2:17" x14ac:dyDescent="0.3">
      <c r="B52" s="30"/>
      <c r="C52" s="30"/>
      <c r="D52" s="30"/>
      <c r="E52" s="30"/>
      <c r="F52" s="30"/>
      <c r="G52" s="30"/>
      <c r="H52" s="30"/>
      <c r="I52" s="30"/>
      <c r="J52" s="30"/>
      <c r="K52" s="30"/>
      <c r="L52" s="30"/>
      <c r="M52" s="30"/>
      <c r="N52" s="30"/>
      <c r="O52" s="30"/>
      <c r="P52" s="30"/>
      <c r="Q52" s="30"/>
    </row>
    <row r="53" spans="2:17" x14ac:dyDescent="0.3">
      <c r="B53" s="30"/>
      <c r="C53" s="30"/>
      <c r="D53" s="30"/>
      <c r="E53" s="30"/>
      <c r="F53" s="30"/>
      <c r="G53" s="30"/>
      <c r="H53" s="30"/>
      <c r="I53" s="30"/>
      <c r="J53" s="30"/>
      <c r="K53" s="30"/>
      <c r="L53" s="30"/>
      <c r="M53" s="30"/>
      <c r="N53" s="30"/>
      <c r="O53" s="30"/>
      <c r="P53" s="30"/>
      <c r="Q53" s="30"/>
    </row>
    <row r="54" spans="2:17" x14ac:dyDescent="0.3">
      <c r="B54" s="30"/>
      <c r="C54" s="30"/>
      <c r="D54" s="30"/>
      <c r="E54" s="30"/>
      <c r="F54" s="30"/>
      <c r="G54" s="30"/>
      <c r="H54" s="30"/>
      <c r="I54" s="30"/>
      <c r="J54" s="30"/>
      <c r="K54" s="30"/>
      <c r="L54" s="30"/>
      <c r="M54" s="30"/>
      <c r="N54" s="30"/>
      <c r="O54" s="30"/>
      <c r="P54" s="30"/>
      <c r="Q54" s="30"/>
    </row>
    <row r="55" spans="2:17" x14ac:dyDescent="0.3">
      <c r="B55" s="30"/>
      <c r="C55" s="30"/>
      <c r="D55" s="30"/>
      <c r="E55" s="30"/>
      <c r="F55" s="30"/>
      <c r="G55" s="30"/>
      <c r="H55" s="30"/>
      <c r="I55" s="30"/>
      <c r="J55" s="30"/>
      <c r="K55" s="30"/>
      <c r="L55" s="30"/>
      <c r="M55" s="30"/>
      <c r="N55" s="30"/>
      <c r="O55" s="30"/>
      <c r="P55" s="30"/>
      <c r="Q55" s="30"/>
    </row>
    <row r="56" spans="2:17" x14ac:dyDescent="0.3">
      <c r="B56" s="30"/>
      <c r="C56" s="30"/>
      <c r="D56" s="30"/>
      <c r="E56" s="30"/>
      <c r="F56" s="30"/>
      <c r="G56" s="30"/>
      <c r="H56" s="30"/>
      <c r="I56" s="30"/>
      <c r="J56" s="30"/>
      <c r="K56" s="30"/>
      <c r="L56" s="30"/>
      <c r="M56" s="30"/>
      <c r="N56" s="30"/>
      <c r="O56" s="30"/>
      <c r="P56" s="30"/>
      <c r="Q56" s="30"/>
    </row>
    <row r="57" spans="2:17" x14ac:dyDescent="0.3">
      <c r="B57" s="30"/>
      <c r="C57" s="30"/>
      <c r="D57" s="30"/>
      <c r="E57" s="30"/>
      <c r="F57" s="30"/>
      <c r="G57" s="30"/>
      <c r="H57" s="30"/>
      <c r="I57" s="30"/>
      <c r="J57" s="30"/>
      <c r="K57" s="30"/>
      <c r="L57" s="30"/>
      <c r="M57" s="30"/>
      <c r="N57" s="30"/>
      <c r="O57" s="30"/>
      <c r="P57" s="30"/>
      <c r="Q57" s="30"/>
    </row>
    <row r="58" spans="2:17" x14ac:dyDescent="0.3">
      <c r="B58" s="30"/>
      <c r="C58" s="30"/>
      <c r="D58" s="30"/>
      <c r="E58" s="30"/>
      <c r="F58" s="30"/>
      <c r="G58" s="30"/>
      <c r="H58" s="30"/>
      <c r="I58" s="30"/>
      <c r="J58" s="30"/>
      <c r="K58" s="30"/>
      <c r="L58" s="30"/>
      <c r="M58" s="30"/>
      <c r="N58" s="30"/>
      <c r="O58" s="30"/>
      <c r="P58" s="30"/>
      <c r="Q58" s="30"/>
    </row>
    <row r="59" spans="2:17" x14ac:dyDescent="0.3">
      <c r="B59" s="30"/>
      <c r="C59" s="30"/>
      <c r="D59" s="30"/>
      <c r="E59" s="30"/>
      <c r="F59" s="30"/>
      <c r="G59" s="30"/>
      <c r="H59" s="30"/>
      <c r="I59" s="30"/>
      <c r="J59" s="30"/>
      <c r="K59" s="30"/>
      <c r="L59" s="30"/>
      <c r="M59" s="30"/>
      <c r="N59" s="30"/>
      <c r="O59" s="30"/>
      <c r="P59" s="30"/>
      <c r="Q59" s="30"/>
    </row>
    <row r="60" spans="2:17" x14ac:dyDescent="0.3">
      <c r="B60" s="30"/>
      <c r="C60" s="30"/>
      <c r="D60" s="30"/>
      <c r="E60" s="30"/>
      <c r="F60" s="30"/>
      <c r="G60" s="30"/>
      <c r="H60" s="30"/>
      <c r="I60" s="30"/>
      <c r="J60" s="30"/>
      <c r="K60" s="30"/>
      <c r="L60" s="30"/>
      <c r="M60" s="30"/>
      <c r="N60" s="30"/>
      <c r="O60" s="30"/>
      <c r="P60" s="30"/>
      <c r="Q60" s="30"/>
    </row>
    <row r="61" spans="2:17" x14ac:dyDescent="0.3">
      <c r="B61" s="30"/>
      <c r="C61" s="30"/>
      <c r="D61" s="30"/>
      <c r="E61" s="30"/>
      <c r="F61" s="30"/>
      <c r="G61" s="30"/>
      <c r="H61" s="30"/>
      <c r="I61" s="30"/>
      <c r="J61" s="30"/>
      <c r="K61" s="30"/>
      <c r="L61" s="30"/>
      <c r="M61" s="30"/>
      <c r="N61" s="30"/>
      <c r="O61" s="30"/>
      <c r="P61" s="30"/>
      <c r="Q61" s="30"/>
    </row>
    <row r="62" spans="2:17" x14ac:dyDescent="0.3">
      <c r="B62" s="30"/>
      <c r="C62" s="30"/>
      <c r="D62" s="30"/>
      <c r="E62" s="30"/>
      <c r="F62" s="30"/>
      <c r="G62" s="30"/>
      <c r="H62" s="30"/>
      <c r="I62" s="30"/>
      <c r="J62" s="30"/>
      <c r="K62" s="30"/>
      <c r="L62" s="30"/>
      <c r="M62" s="30"/>
      <c r="N62" s="30"/>
      <c r="O62" s="30"/>
      <c r="P62" s="30"/>
      <c r="Q62" s="30"/>
    </row>
    <row r="63" spans="2:17" x14ac:dyDescent="0.3">
      <c r="B63" s="30"/>
      <c r="C63" s="30"/>
      <c r="D63" s="30"/>
      <c r="E63" s="30"/>
      <c r="F63" s="30"/>
      <c r="G63" s="30"/>
      <c r="H63" s="30"/>
      <c r="I63" s="30"/>
      <c r="J63" s="30"/>
      <c r="K63" s="30"/>
      <c r="L63" s="30"/>
      <c r="M63" s="30"/>
      <c r="N63" s="30"/>
      <c r="O63" s="30"/>
      <c r="P63" s="30"/>
      <c r="Q63" s="30"/>
    </row>
    <row r="64" spans="2:17" x14ac:dyDescent="0.3">
      <c r="B64" s="30"/>
      <c r="C64" s="30"/>
      <c r="D64" s="30"/>
      <c r="E64" s="30"/>
      <c r="F64" s="30"/>
      <c r="G64" s="30"/>
      <c r="H64" s="30"/>
      <c r="I64" s="30"/>
      <c r="J64" s="30"/>
      <c r="K64" s="30"/>
      <c r="L64" s="30"/>
      <c r="M64" s="30"/>
      <c r="N64" s="30"/>
      <c r="O64" s="30"/>
      <c r="P64" s="30"/>
      <c r="Q64" s="30"/>
    </row>
    <row r="65" spans="2:17" x14ac:dyDescent="0.3">
      <c r="B65" s="30"/>
      <c r="C65" s="30"/>
      <c r="D65" s="30"/>
      <c r="E65" s="30"/>
      <c r="F65" s="30"/>
      <c r="G65" s="30"/>
      <c r="H65" s="30"/>
      <c r="I65" s="30"/>
      <c r="J65" s="30"/>
      <c r="K65" s="30"/>
      <c r="L65" s="30"/>
      <c r="M65" s="30"/>
      <c r="N65" s="30"/>
      <c r="O65" s="30"/>
      <c r="P65" s="30"/>
      <c r="Q65" s="30"/>
    </row>
    <row r="66" spans="2:17" x14ac:dyDescent="0.3">
      <c r="B66" s="30"/>
      <c r="C66" s="30"/>
      <c r="D66" s="30"/>
      <c r="E66" s="30"/>
      <c r="F66" s="30"/>
      <c r="G66" s="30"/>
      <c r="H66" s="30"/>
      <c r="I66" s="30"/>
      <c r="J66" s="30"/>
      <c r="K66" s="30"/>
      <c r="L66" s="30"/>
      <c r="M66" s="30"/>
      <c r="N66" s="30"/>
      <c r="O66" s="30"/>
      <c r="P66" s="30"/>
      <c r="Q66" s="30"/>
    </row>
    <row r="67" spans="2:17" x14ac:dyDescent="0.3">
      <c r="B67" s="30"/>
      <c r="C67" s="30"/>
      <c r="D67" s="30"/>
      <c r="E67" s="30"/>
      <c r="F67" s="30"/>
      <c r="G67" s="30"/>
      <c r="H67" s="30"/>
      <c r="I67" s="30"/>
      <c r="J67" s="30"/>
      <c r="K67" s="30"/>
      <c r="L67" s="30"/>
      <c r="M67" s="30"/>
      <c r="N67" s="30"/>
      <c r="O67" s="30"/>
      <c r="P67" s="30"/>
      <c r="Q67" s="30"/>
    </row>
    <row r="68" spans="2:17" x14ac:dyDescent="0.3">
      <c r="B68" s="30"/>
      <c r="C68" s="30"/>
      <c r="D68" s="30"/>
      <c r="E68" s="30"/>
      <c r="F68" s="30"/>
      <c r="G68" s="30"/>
      <c r="H68" s="30"/>
      <c r="I68" s="30"/>
      <c r="J68" s="30"/>
      <c r="K68" s="30"/>
      <c r="L68" s="30"/>
      <c r="M68" s="30"/>
      <c r="N68" s="30"/>
      <c r="O68" s="30"/>
      <c r="P68" s="30"/>
      <c r="Q68" s="30"/>
    </row>
    <row r="69" spans="2:17" x14ac:dyDescent="0.3">
      <c r="B69" s="30"/>
      <c r="C69" s="30"/>
      <c r="D69" s="30"/>
      <c r="E69" s="30"/>
      <c r="F69" s="30"/>
      <c r="G69" s="30"/>
      <c r="H69" s="30"/>
      <c r="I69" s="30"/>
      <c r="J69" s="30"/>
      <c r="K69" s="30"/>
      <c r="L69" s="30"/>
      <c r="M69" s="30"/>
      <c r="N69" s="30"/>
      <c r="O69" s="30"/>
      <c r="P69" s="30"/>
      <c r="Q69" s="30"/>
    </row>
    <row r="70" spans="2:17" x14ac:dyDescent="0.3">
      <c r="B70" s="30"/>
      <c r="C70" s="30"/>
      <c r="D70" s="30"/>
      <c r="E70" s="30"/>
      <c r="F70" s="30"/>
      <c r="G70" s="30"/>
      <c r="H70" s="30"/>
      <c r="I70" s="30"/>
      <c r="J70" s="30"/>
      <c r="K70" s="30"/>
      <c r="L70" s="30"/>
      <c r="M70" s="30"/>
      <c r="N70" s="30"/>
      <c r="O70" s="30"/>
      <c r="P70" s="30"/>
      <c r="Q70" s="30"/>
    </row>
    <row r="71" spans="2:17" x14ac:dyDescent="0.3">
      <c r="B71" s="30"/>
      <c r="C71" s="30"/>
      <c r="D71" s="30"/>
      <c r="E71" s="30"/>
      <c r="F71" s="30"/>
      <c r="G71" s="30"/>
      <c r="H71" s="30"/>
      <c r="I71" s="30"/>
      <c r="J71" s="30"/>
      <c r="K71" s="30"/>
      <c r="L71" s="30"/>
      <c r="M71" s="30"/>
      <c r="N71" s="30"/>
      <c r="O71" s="30"/>
      <c r="P71" s="30"/>
      <c r="Q71" s="30"/>
    </row>
    <row r="72" spans="2:17" x14ac:dyDescent="0.3">
      <c r="B72" s="30"/>
      <c r="C72" s="30"/>
      <c r="D72" s="30"/>
      <c r="E72" s="30"/>
      <c r="F72" s="30"/>
      <c r="G72" s="30"/>
      <c r="H72" s="30"/>
      <c r="I72" s="30"/>
      <c r="J72" s="30"/>
      <c r="K72" s="30"/>
      <c r="L72" s="30"/>
      <c r="M72" s="30"/>
      <c r="N72" s="30"/>
      <c r="O72" s="30"/>
      <c r="P72" s="30"/>
      <c r="Q72" s="30"/>
    </row>
    <row r="73" spans="2:17" x14ac:dyDescent="0.3">
      <c r="B73" s="30"/>
      <c r="C73" s="30"/>
      <c r="D73" s="30"/>
      <c r="E73" s="30"/>
      <c r="F73" s="30"/>
      <c r="G73" s="30"/>
      <c r="H73" s="30"/>
      <c r="I73" s="30"/>
      <c r="J73" s="30"/>
      <c r="K73" s="30"/>
      <c r="L73" s="30"/>
      <c r="M73" s="30"/>
      <c r="N73" s="30"/>
      <c r="O73" s="30"/>
      <c r="P73" s="30"/>
      <c r="Q73" s="30"/>
    </row>
    <row r="74" spans="2:17" x14ac:dyDescent="0.3">
      <c r="B74" s="30"/>
      <c r="C74" s="30"/>
      <c r="D74" s="30"/>
      <c r="E74" s="30"/>
      <c r="F74" s="30"/>
      <c r="G74" s="30"/>
      <c r="H74" s="30"/>
      <c r="I74" s="30"/>
      <c r="J74" s="30"/>
      <c r="K74" s="30"/>
      <c r="L74" s="30"/>
      <c r="M74" s="30"/>
      <c r="N74" s="30"/>
      <c r="O74" s="30"/>
      <c r="P74" s="30"/>
      <c r="Q74" s="30"/>
    </row>
    <row r="75" spans="2:17" x14ac:dyDescent="0.3">
      <c r="B75" s="30"/>
      <c r="C75" s="30"/>
      <c r="D75" s="30"/>
      <c r="E75" s="30"/>
      <c r="F75" s="30"/>
      <c r="G75" s="30"/>
      <c r="H75" s="30"/>
      <c r="I75" s="30"/>
      <c r="J75" s="30"/>
      <c r="K75" s="30"/>
      <c r="L75" s="30"/>
      <c r="M75" s="30"/>
      <c r="N75" s="30"/>
      <c r="O75" s="30"/>
      <c r="P75" s="30"/>
      <c r="Q75" s="30"/>
    </row>
    <row r="76" spans="2:17" x14ac:dyDescent="0.3">
      <c r="B76" s="30"/>
      <c r="C76" s="30"/>
      <c r="D76" s="30"/>
      <c r="E76" s="30"/>
      <c r="F76" s="30"/>
      <c r="G76" s="30"/>
      <c r="H76" s="30"/>
      <c r="I76" s="30"/>
      <c r="J76" s="30"/>
      <c r="K76" s="30"/>
      <c r="L76" s="30"/>
      <c r="M76" s="30"/>
      <c r="N76" s="30"/>
      <c r="O76" s="30"/>
      <c r="P76" s="30"/>
      <c r="Q76" s="30"/>
    </row>
    <row r="77" spans="2:17" x14ac:dyDescent="0.3">
      <c r="B77" s="30"/>
      <c r="C77" s="30"/>
      <c r="D77" s="30"/>
      <c r="E77" s="30"/>
      <c r="F77" s="30"/>
      <c r="G77" s="30"/>
      <c r="H77" s="30"/>
      <c r="I77" s="30"/>
      <c r="J77" s="30"/>
      <c r="K77" s="30"/>
      <c r="L77" s="30"/>
      <c r="M77" s="30"/>
      <c r="N77" s="30"/>
      <c r="O77" s="30"/>
      <c r="P77" s="30"/>
      <c r="Q77" s="30"/>
    </row>
    <row r="78" spans="2:17" x14ac:dyDescent="0.3">
      <c r="B78" s="30"/>
      <c r="C78" s="30"/>
      <c r="D78" s="30"/>
      <c r="E78" s="30"/>
      <c r="F78" s="30"/>
      <c r="G78" s="30"/>
      <c r="H78" s="30"/>
      <c r="I78" s="30"/>
      <c r="J78" s="30"/>
      <c r="K78" s="30"/>
      <c r="L78" s="30"/>
      <c r="M78" s="30"/>
      <c r="N78" s="30"/>
      <c r="O78" s="30"/>
      <c r="P78" s="30"/>
      <c r="Q78" s="30"/>
    </row>
    <row r="79" spans="2:17" x14ac:dyDescent="0.3">
      <c r="B79" s="30"/>
      <c r="C79" s="30"/>
      <c r="D79" s="30"/>
      <c r="E79" s="30"/>
      <c r="F79" s="30"/>
      <c r="G79" s="30"/>
      <c r="H79" s="30"/>
      <c r="I79" s="30"/>
      <c r="J79" s="30"/>
      <c r="K79" s="30"/>
      <c r="L79" s="30"/>
      <c r="M79" s="30"/>
      <c r="N79" s="30"/>
      <c r="O79" s="30"/>
      <c r="P79" s="30"/>
      <c r="Q79" s="30"/>
    </row>
    <row r="80" spans="2:17" x14ac:dyDescent="0.3">
      <c r="B80" s="30"/>
      <c r="C80" s="30"/>
      <c r="D80" s="30"/>
      <c r="E80" s="30"/>
      <c r="F80" s="30"/>
      <c r="G80" s="30"/>
      <c r="H80" s="30"/>
      <c r="I80" s="30"/>
      <c r="J80" s="30"/>
      <c r="K80" s="30"/>
      <c r="L80" s="30"/>
      <c r="M80" s="30"/>
      <c r="N80" s="30"/>
      <c r="O80" s="30"/>
      <c r="P80" s="30"/>
      <c r="Q80" s="30"/>
    </row>
    <row r="81" spans="2:17" x14ac:dyDescent="0.3">
      <c r="B81" s="30"/>
      <c r="C81" s="30"/>
      <c r="D81" s="30"/>
      <c r="E81" s="30"/>
      <c r="F81" s="30"/>
      <c r="G81" s="30"/>
      <c r="H81" s="30"/>
      <c r="I81" s="30"/>
      <c r="J81" s="30"/>
      <c r="K81" s="30"/>
      <c r="L81" s="30"/>
      <c r="M81" s="30"/>
      <c r="N81" s="30"/>
      <c r="O81" s="30"/>
      <c r="P81" s="30"/>
      <c r="Q81" s="30"/>
    </row>
    <row r="82" spans="2:17" x14ac:dyDescent="0.3">
      <c r="B82" s="30"/>
      <c r="C82" s="30"/>
      <c r="D82" s="30"/>
      <c r="E82" s="30"/>
      <c r="F82" s="30"/>
      <c r="G82" s="30"/>
      <c r="H82" s="30"/>
      <c r="I82" s="30"/>
      <c r="J82" s="30"/>
      <c r="K82" s="30"/>
      <c r="L82" s="30"/>
      <c r="M82" s="30"/>
      <c r="N82" s="30"/>
      <c r="O82" s="30"/>
      <c r="P82" s="30"/>
      <c r="Q82" s="30"/>
    </row>
    <row r="83" spans="2:17" x14ac:dyDescent="0.3">
      <c r="B83" s="30"/>
      <c r="C83" s="30"/>
      <c r="D83" s="30"/>
      <c r="E83" s="30"/>
      <c r="F83" s="30"/>
      <c r="G83" s="30"/>
      <c r="H83" s="30"/>
      <c r="I83" s="30"/>
      <c r="J83" s="30"/>
      <c r="K83" s="30"/>
      <c r="L83" s="30"/>
      <c r="M83" s="30"/>
      <c r="N83" s="30"/>
      <c r="O83" s="30"/>
      <c r="P83" s="30"/>
      <c r="Q83" s="30"/>
    </row>
    <row r="84" spans="2:17" x14ac:dyDescent="0.3">
      <c r="B84" s="30"/>
      <c r="C84" s="30"/>
      <c r="D84" s="30"/>
      <c r="E84" s="30"/>
      <c r="F84" s="30"/>
      <c r="G84" s="30"/>
      <c r="H84" s="30"/>
      <c r="I84" s="30"/>
      <c r="J84" s="30"/>
      <c r="K84" s="30"/>
      <c r="L84" s="30"/>
      <c r="M84" s="30"/>
      <c r="N84" s="30"/>
      <c r="O84" s="30"/>
      <c r="P84" s="30"/>
      <c r="Q84" s="30"/>
    </row>
    <row r="85" spans="2:17" x14ac:dyDescent="0.3">
      <c r="B85" s="30"/>
      <c r="C85" s="30"/>
      <c r="D85" s="30"/>
      <c r="E85" s="30"/>
      <c r="F85" s="30"/>
      <c r="G85" s="30"/>
      <c r="H85" s="30"/>
      <c r="I85" s="30"/>
      <c r="J85" s="30"/>
      <c r="K85" s="30"/>
      <c r="L85" s="30"/>
      <c r="M85" s="30"/>
      <c r="N85" s="30"/>
      <c r="O85" s="30"/>
      <c r="P85" s="30"/>
      <c r="Q85" s="30"/>
    </row>
    <row r="86" spans="2:17" x14ac:dyDescent="0.3">
      <c r="B86" s="30"/>
      <c r="C86" s="30"/>
      <c r="D86" s="30"/>
      <c r="E86" s="30"/>
      <c r="F86" s="30"/>
      <c r="G86" s="30"/>
      <c r="H86" s="30"/>
      <c r="I86" s="30"/>
      <c r="J86" s="30"/>
      <c r="K86" s="30"/>
      <c r="L86" s="30"/>
      <c r="M86" s="30"/>
      <c r="N86" s="30"/>
      <c r="O86" s="30"/>
      <c r="P86" s="30"/>
      <c r="Q86" s="30"/>
    </row>
    <row r="87" spans="2:17" x14ac:dyDescent="0.3">
      <c r="B87" s="30"/>
      <c r="C87" s="30"/>
      <c r="D87" s="30"/>
      <c r="E87" s="30"/>
      <c r="F87" s="30"/>
      <c r="G87" s="30"/>
      <c r="H87" s="30"/>
      <c r="I87" s="30"/>
      <c r="J87" s="30"/>
      <c r="K87" s="30"/>
      <c r="L87" s="30"/>
      <c r="M87" s="30"/>
      <c r="N87" s="30"/>
      <c r="O87" s="30"/>
      <c r="P87" s="30"/>
      <c r="Q87" s="30"/>
    </row>
    <row r="88" spans="2:17" x14ac:dyDescent="0.3">
      <c r="B88" s="30"/>
      <c r="C88" s="30"/>
      <c r="D88" s="30"/>
      <c r="E88" s="30"/>
      <c r="F88" s="30"/>
      <c r="G88" s="30"/>
      <c r="H88" s="30"/>
      <c r="I88" s="30"/>
      <c r="J88" s="30"/>
      <c r="K88" s="30"/>
      <c r="L88" s="30"/>
      <c r="M88" s="30"/>
      <c r="N88" s="30"/>
      <c r="O88" s="30"/>
      <c r="P88" s="30"/>
      <c r="Q88" s="30"/>
    </row>
    <row r="89" spans="2:17" x14ac:dyDescent="0.3">
      <c r="B89" s="30"/>
      <c r="C89" s="30"/>
      <c r="D89" s="30"/>
      <c r="E89" s="30"/>
      <c r="F89" s="30"/>
      <c r="G89" s="30"/>
      <c r="H89" s="30"/>
      <c r="I89" s="30"/>
      <c r="J89" s="30"/>
      <c r="K89" s="30"/>
      <c r="L89" s="30"/>
      <c r="M89" s="30"/>
      <c r="N89" s="30"/>
      <c r="O89" s="30"/>
      <c r="P89" s="30"/>
      <c r="Q89" s="30"/>
    </row>
    <row r="90" spans="2:17" x14ac:dyDescent="0.3">
      <c r="B90" s="30"/>
      <c r="C90" s="30"/>
      <c r="D90" s="30"/>
      <c r="E90" s="30"/>
      <c r="F90" s="30"/>
      <c r="G90" s="30"/>
      <c r="H90" s="30"/>
      <c r="I90" s="30"/>
      <c r="J90" s="30"/>
      <c r="K90" s="30"/>
      <c r="L90" s="30"/>
      <c r="M90" s="30"/>
      <c r="N90" s="30"/>
      <c r="O90" s="30"/>
      <c r="P90" s="30"/>
      <c r="Q90" s="30"/>
    </row>
    <row r="91" spans="2:17" x14ac:dyDescent="0.3">
      <c r="B91" s="30"/>
      <c r="C91" s="30"/>
      <c r="D91" s="30"/>
      <c r="E91" s="30"/>
      <c r="F91" s="30"/>
      <c r="G91" s="30"/>
      <c r="H91" s="30"/>
      <c r="I91" s="30"/>
      <c r="J91" s="30"/>
      <c r="K91" s="30"/>
      <c r="L91" s="30"/>
      <c r="M91" s="30"/>
      <c r="N91" s="30"/>
      <c r="O91" s="30"/>
      <c r="P91" s="30"/>
      <c r="Q91" s="30"/>
    </row>
    <row r="92" spans="2:17" x14ac:dyDescent="0.3">
      <c r="B92" s="30"/>
      <c r="C92" s="30"/>
      <c r="D92" s="30"/>
      <c r="E92" s="30"/>
      <c r="F92" s="30"/>
      <c r="G92" s="30"/>
      <c r="H92" s="30"/>
      <c r="I92" s="30"/>
      <c r="J92" s="30"/>
      <c r="K92" s="30"/>
      <c r="L92" s="30"/>
      <c r="M92" s="30"/>
      <c r="N92" s="30"/>
      <c r="O92" s="30"/>
      <c r="P92" s="30"/>
      <c r="Q92" s="30"/>
    </row>
    <row r="93" spans="2:17" x14ac:dyDescent="0.3">
      <c r="B93" s="30"/>
      <c r="C93" s="30"/>
      <c r="D93" s="30"/>
      <c r="E93" s="30"/>
      <c r="F93" s="30"/>
      <c r="G93" s="30"/>
      <c r="H93" s="30"/>
      <c r="I93" s="30"/>
      <c r="J93" s="30"/>
      <c r="K93" s="30"/>
      <c r="L93" s="30"/>
      <c r="M93" s="30"/>
      <c r="N93" s="30"/>
      <c r="O93" s="30"/>
      <c r="P93" s="30"/>
      <c r="Q93" s="30"/>
    </row>
    <row r="94" spans="2:17" x14ac:dyDescent="0.3">
      <c r="B94" s="30"/>
      <c r="C94" s="30"/>
      <c r="D94" s="30"/>
      <c r="E94" s="30"/>
      <c r="F94" s="30"/>
      <c r="G94" s="30"/>
      <c r="H94" s="30"/>
      <c r="I94" s="30"/>
      <c r="J94" s="30"/>
      <c r="K94" s="30"/>
      <c r="L94" s="30"/>
      <c r="M94" s="30"/>
      <c r="N94" s="30"/>
      <c r="O94" s="30"/>
      <c r="P94" s="30"/>
      <c r="Q94" s="30"/>
    </row>
    <row r="95" spans="2:17" x14ac:dyDescent="0.3">
      <c r="B95" s="30"/>
      <c r="C95" s="30"/>
      <c r="D95" s="30"/>
      <c r="E95" s="30"/>
      <c r="F95" s="30"/>
      <c r="G95" s="30"/>
      <c r="H95" s="30"/>
      <c r="I95" s="30"/>
      <c r="J95" s="30"/>
      <c r="K95" s="30"/>
      <c r="L95" s="30"/>
      <c r="M95" s="30"/>
      <c r="N95" s="30"/>
      <c r="O95" s="30"/>
      <c r="P95" s="30"/>
      <c r="Q95" s="30"/>
    </row>
    <row r="96" spans="2:17" x14ac:dyDescent="0.3">
      <c r="B96" s="30"/>
      <c r="C96" s="30"/>
      <c r="D96" s="30"/>
      <c r="E96" s="30"/>
      <c r="F96" s="30"/>
      <c r="G96" s="30"/>
      <c r="H96" s="30"/>
      <c r="I96" s="30"/>
      <c r="J96" s="30"/>
      <c r="K96" s="30"/>
      <c r="L96" s="30"/>
      <c r="M96" s="30"/>
      <c r="N96" s="30"/>
      <c r="O96" s="30"/>
      <c r="P96" s="30"/>
      <c r="Q96" s="30"/>
    </row>
    <row r="97" spans="2:17" x14ac:dyDescent="0.3">
      <c r="B97" s="30"/>
      <c r="C97" s="30"/>
      <c r="D97" s="30"/>
      <c r="E97" s="30"/>
      <c r="F97" s="30"/>
      <c r="G97" s="30"/>
      <c r="H97" s="30"/>
      <c r="I97" s="30"/>
      <c r="J97" s="30"/>
      <c r="K97" s="30"/>
      <c r="L97" s="30"/>
      <c r="M97" s="30"/>
      <c r="N97" s="30"/>
      <c r="O97" s="30"/>
      <c r="P97" s="30"/>
      <c r="Q97" s="30"/>
    </row>
    <row r="98" spans="2:17" x14ac:dyDescent="0.3">
      <c r="B98" s="30"/>
      <c r="C98" s="30"/>
      <c r="D98" s="30"/>
      <c r="E98" s="30"/>
      <c r="F98" s="30"/>
      <c r="G98" s="30"/>
      <c r="H98" s="30"/>
      <c r="I98" s="30"/>
      <c r="J98" s="30"/>
      <c r="K98" s="30"/>
      <c r="L98" s="30"/>
      <c r="M98" s="30"/>
      <c r="N98" s="30"/>
      <c r="O98" s="30"/>
      <c r="P98" s="30"/>
      <c r="Q98" s="30"/>
    </row>
    <row r="99" spans="2:17" x14ac:dyDescent="0.3">
      <c r="B99" s="30"/>
      <c r="C99" s="30"/>
      <c r="D99" s="30"/>
      <c r="E99" s="30"/>
      <c r="F99" s="30"/>
      <c r="G99" s="30"/>
      <c r="H99" s="30"/>
      <c r="I99" s="30"/>
      <c r="J99" s="30"/>
      <c r="K99" s="30"/>
      <c r="L99" s="30"/>
      <c r="M99" s="30"/>
      <c r="N99" s="30"/>
      <c r="O99" s="30"/>
      <c r="P99" s="30"/>
      <c r="Q99" s="30"/>
    </row>
    <row r="100" spans="2:17" x14ac:dyDescent="0.3">
      <c r="B100" s="30"/>
      <c r="C100" s="30"/>
      <c r="D100" s="30"/>
      <c r="E100" s="30"/>
      <c r="F100" s="30"/>
      <c r="G100" s="30"/>
      <c r="H100" s="30"/>
      <c r="I100" s="30"/>
      <c r="J100" s="30"/>
      <c r="K100" s="30"/>
      <c r="L100" s="30"/>
      <c r="M100" s="30"/>
      <c r="N100" s="30"/>
      <c r="O100" s="30"/>
      <c r="P100" s="30"/>
      <c r="Q100" s="30"/>
    </row>
    <row r="101" spans="2:17" x14ac:dyDescent="0.3">
      <c r="B101" s="30"/>
      <c r="C101" s="30"/>
      <c r="D101" s="30"/>
      <c r="E101" s="30"/>
      <c r="F101" s="30"/>
      <c r="G101" s="30"/>
      <c r="H101" s="30"/>
      <c r="I101" s="30"/>
      <c r="J101" s="30"/>
      <c r="K101" s="30"/>
      <c r="L101" s="30"/>
      <c r="M101" s="30"/>
      <c r="N101" s="30"/>
      <c r="O101" s="30"/>
      <c r="P101" s="30"/>
      <c r="Q101" s="30"/>
    </row>
    <row r="102" spans="2:17" x14ac:dyDescent="0.3">
      <c r="B102" s="30"/>
      <c r="C102" s="30"/>
      <c r="D102" s="30"/>
      <c r="E102" s="30"/>
      <c r="F102" s="30"/>
      <c r="G102" s="30"/>
      <c r="H102" s="30"/>
      <c r="I102" s="30"/>
      <c r="J102" s="30"/>
      <c r="K102" s="30"/>
      <c r="L102" s="30"/>
      <c r="M102" s="30"/>
      <c r="N102" s="30"/>
      <c r="O102" s="30"/>
      <c r="P102" s="30"/>
      <c r="Q102" s="30"/>
    </row>
    <row r="103" spans="2:17" x14ac:dyDescent="0.3">
      <c r="B103" s="30"/>
      <c r="C103" s="30"/>
      <c r="D103" s="30"/>
      <c r="E103" s="30"/>
      <c r="F103" s="30"/>
      <c r="G103" s="30"/>
      <c r="H103" s="30"/>
      <c r="I103" s="30"/>
      <c r="J103" s="30"/>
      <c r="K103" s="30"/>
      <c r="L103" s="30"/>
      <c r="M103" s="30"/>
      <c r="N103" s="30"/>
      <c r="O103" s="30"/>
      <c r="P103" s="30"/>
      <c r="Q103" s="30"/>
    </row>
    <row r="104" spans="2:17" x14ac:dyDescent="0.3">
      <c r="B104" s="30"/>
      <c r="C104" s="30"/>
      <c r="D104" s="30"/>
      <c r="E104" s="30"/>
      <c r="F104" s="30"/>
      <c r="G104" s="30"/>
      <c r="H104" s="30"/>
      <c r="I104" s="30"/>
      <c r="J104" s="30"/>
      <c r="K104" s="30"/>
      <c r="L104" s="30"/>
      <c r="M104" s="30"/>
      <c r="N104" s="30"/>
      <c r="O104" s="30"/>
      <c r="P104" s="30"/>
      <c r="Q104" s="30"/>
    </row>
    <row r="105" spans="2:17" x14ac:dyDescent="0.3">
      <c r="B105" s="30"/>
      <c r="C105" s="30"/>
      <c r="D105" s="30"/>
      <c r="E105" s="30"/>
      <c r="F105" s="30"/>
      <c r="G105" s="30"/>
      <c r="H105" s="30"/>
      <c r="I105" s="30"/>
      <c r="J105" s="30"/>
      <c r="K105" s="30"/>
      <c r="L105" s="30"/>
      <c r="M105" s="30"/>
      <c r="N105" s="30"/>
      <c r="O105" s="30"/>
      <c r="P105" s="30"/>
      <c r="Q105" s="30"/>
    </row>
    <row r="106" spans="2:17" x14ac:dyDescent="0.3">
      <c r="B106" s="30"/>
      <c r="C106" s="30"/>
      <c r="D106" s="30"/>
      <c r="E106" s="30"/>
      <c r="F106" s="30"/>
      <c r="G106" s="30"/>
      <c r="H106" s="30"/>
      <c r="I106" s="30"/>
      <c r="J106" s="30"/>
      <c r="K106" s="30"/>
      <c r="L106" s="30"/>
      <c r="M106" s="30"/>
      <c r="N106" s="30"/>
      <c r="O106" s="30"/>
      <c r="P106" s="30"/>
      <c r="Q106" s="30"/>
    </row>
    <row r="107" spans="2:17" x14ac:dyDescent="0.3">
      <c r="B107" s="30"/>
      <c r="C107" s="30"/>
      <c r="D107" s="30"/>
      <c r="E107" s="30"/>
      <c r="F107" s="30"/>
      <c r="G107" s="30"/>
      <c r="H107" s="30"/>
      <c r="I107" s="30"/>
      <c r="J107" s="30"/>
      <c r="K107" s="30"/>
      <c r="L107" s="30"/>
      <c r="M107" s="30"/>
      <c r="N107" s="30"/>
      <c r="O107" s="30"/>
      <c r="P107" s="30"/>
      <c r="Q107" s="30"/>
    </row>
    <row r="108" spans="2:17" x14ac:dyDescent="0.3">
      <c r="B108" s="30"/>
      <c r="C108" s="30"/>
      <c r="D108" s="30"/>
      <c r="E108" s="30"/>
      <c r="F108" s="30"/>
      <c r="G108" s="30"/>
      <c r="H108" s="30"/>
      <c r="I108" s="30"/>
      <c r="J108" s="30"/>
      <c r="K108" s="30"/>
      <c r="L108" s="30"/>
      <c r="M108" s="30"/>
      <c r="N108" s="30"/>
      <c r="O108" s="30"/>
      <c r="P108" s="30"/>
      <c r="Q108" s="30"/>
    </row>
    <row r="109" spans="2:17" x14ac:dyDescent="0.3">
      <c r="B109" s="30"/>
      <c r="C109" s="30"/>
      <c r="D109" s="30"/>
      <c r="E109" s="30"/>
      <c r="F109" s="30"/>
      <c r="G109" s="30"/>
      <c r="H109" s="30"/>
      <c r="I109" s="30"/>
      <c r="J109" s="30"/>
      <c r="K109" s="30"/>
      <c r="L109" s="30"/>
      <c r="M109" s="30"/>
      <c r="N109" s="30"/>
      <c r="O109" s="30"/>
      <c r="P109" s="30"/>
      <c r="Q109" s="30"/>
    </row>
    <row r="110" spans="2:17" x14ac:dyDescent="0.3">
      <c r="B110" s="30"/>
      <c r="C110" s="30"/>
      <c r="D110" s="30"/>
      <c r="E110" s="30"/>
      <c r="F110" s="30"/>
      <c r="G110" s="30"/>
      <c r="H110" s="30"/>
      <c r="I110" s="30"/>
      <c r="J110" s="30"/>
      <c r="K110" s="30"/>
      <c r="L110" s="30"/>
      <c r="M110" s="30"/>
      <c r="N110" s="30"/>
      <c r="O110" s="30"/>
      <c r="P110" s="30"/>
      <c r="Q110" s="30"/>
    </row>
    <row r="111" spans="2:17" x14ac:dyDescent="0.3">
      <c r="B111" s="30"/>
      <c r="C111" s="30"/>
      <c r="D111" s="30"/>
      <c r="E111" s="30"/>
      <c r="F111" s="30"/>
      <c r="G111" s="30"/>
      <c r="H111" s="30"/>
      <c r="I111" s="30"/>
      <c r="J111" s="30"/>
      <c r="K111" s="30"/>
      <c r="L111" s="30"/>
      <c r="M111" s="30"/>
      <c r="N111" s="30"/>
      <c r="O111" s="30"/>
      <c r="P111" s="30"/>
      <c r="Q111" s="30"/>
    </row>
    <row r="112" spans="2:17" x14ac:dyDescent="0.3">
      <c r="B112" s="30"/>
      <c r="C112" s="30"/>
      <c r="D112" s="30"/>
      <c r="E112" s="30"/>
      <c r="F112" s="30"/>
      <c r="G112" s="30"/>
      <c r="H112" s="30"/>
      <c r="I112" s="30"/>
      <c r="J112" s="30"/>
      <c r="K112" s="30"/>
      <c r="L112" s="30"/>
      <c r="M112" s="30"/>
      <c r="N112" s="30"/>
      <c r="O112" s="30"/>
      <c r="P112" s="30"/>
      <c r="Q112" s="30"/>
    </row>
    <row r="113" spans="2:17" x14ac:dyDescent="0.3">
      <c r="B113" s="30"/>
      <c r="C113" s="30"/>
      <c r="D113" s="30"/>
      <c r="E113" s="30"/>
      <c r="F113" s="30"/>
      <c r="G113" s="30"/>
      <c r="H113" s="30"/>
      <c r="I113" s="30"/>
      <c r="J113" s="30"/>
      <c r="K113" s="30"/>
      <c r="L113" s="30"/>
      <c r="M113" s="30"/>
      <c r="N113" s="30"/>
      <c r="O113" s="30"/>
      <c r="P113" s="30"/>
      <c r="Q113" s="30"/>
    </row>
    <row r="114" spans="2:17" x14ac:dyDescent="0.3">
      <c r="B114" s="30"/>
      <c r="C114" s="30"/>
      <c r="D114" s="30"/>
      <c r="E114" s="30"/>
      <c r="F114" s="30"/>
      <c r="G114" s="30"/>
      <c r="H114" s="30"/>
      <c r="I114" s="30"/>
      <c r="J114" s="30"/>
      <c r="K114" s="30"/>
      <c r="L114" s="30"/>
      <c r="M114" s="30"/>
      <c r="N114" s="30"/>
      <c r="O114" s="30"/>
      <c r="P114" s="30"/>
      <c r="Q114" s="30"/>
    </row>
    <row r="115" spans="2:17" x14ac:dyDescent="0.3">
      <c r="B115" s="30"/>
      <c r="C115" s="30"/>
      <c r="D115" s="30"/>
      <c r="E115" s="30"/>
      <c r="F115" s="30"/>
      <c r="G115" s="30"/>
      <c r="H115" s="30"/>
      <c r="I115" s="30"/>
      <c r="J115" s="30"/>
      <c r="K115" s="30"/>
      <c r="L115" s="30"/>
      <c r="M115" s="30"/>
      <c r="N115" s="30"/>
      <c r="O115" s="30"/>
      <c r="P115" s="30"/>
      <c r="Q115" s="30"/>
    </row>
    <row r="116" spans="2:17" x14ac:dyDescent="0.3">
      <c r="B116" s="30"/>
      <c r="C116" s="30"/>
      <c r="D116" s="30"/>
      <c r="E116" s="30"/>
      <c r="F116" s="30"/>
      <c r="G116" s="30"/>
      <c r="H116" s="30"/>
      <c r="I116" s="30"/>
      <c r="J116" s="30"/>
      <c r="K116" s="30"/>
      <c r="L116" s="30"/>
      <c r="M116" s="30"/>
      <c r="N116" s="30"/>
      <c r="O116" s="30"/>
      <c r="P116" s="30"/>
      <c r="Q116" s="30"/>
    </row>
    <row r="117" spans="2:17" x14ac:dyDescent="0.3">
      <c r="B117" s="30"/>
      <c r="C117" s="30"/>
      <c r="D117" s="30"/>
      <c r="E117" s="30"/>
      <c r="F117" s="30"/>
      <c r="G117" s="30"/>
      <c r="H117" s="30"/>
      <c r="I117" s="30"/>
      <c r="J117" s="30"/>
      <c r="K117" s="30"/>
      <c r="L117" s="30"/>
      <c r="M117" s="30"/>
      <c r="N117" s="30"/>
      <c r="O117" s="30"/>
      <c r="P117" s="30"/>
      <c r="Q117" s="30"/>
    </row>
    <row r="118" spans="2:17" x14ac:dyDescent="0.3">
      <c r="B118" s="30"/>
      <c r="C118" s="30"/>
      <c r="D118" s="30"/>
      <c r="E118" s="30"/>
      <c r="F118" s="30"/>
      <c r="G118" s="30"/>
      <c r="H118" s="30"/>
      <c r="I118" s="30"/>
      <c r="J118" s="30"/>
      <c r="K118" s="30"/>
      <c r="L118" s="30"/>
      <c r="M118" s="30"/>
      <c r="N118" s="30"/>
      <c r="O118" s="30"/>
      <c r="P118" s="30"/>
      <c r="Q118" s="30"/>
    </row>
    <row r="119" spans="2:17" x14ac:dyDescent="0.3">
      <c r="B119" s="30"/>
      <c r="C119" s="30"/>
      <c r="D119" s="30"/>
      <c r="E119" s="30"/>
      <c r="F119" s="30"/>
      <c r="G119" s="30"/>
      <c r="H119" s="30"/>
      <c r="I119" s="30"/>
      <c r="J119" s="30"/>
      <c r="K119" s="30"/>
      <c r="L119" s="30"/>
      <c r="M119" s="30"/>
      <c r="N119" s="30"/>
      <c r="O119" s="30"/>
      <c r="P119" s="30"/>
      <c r="Q119" s="30"/>
    </row>
    <row r="120" spans="2:17" x14ac:dyDescent="0.3">
      <c r="B120" s="30"/>
      <c r="C120" s="30"/>
      <c r="D120" s="30"/>
      <c r="E120" s="30"/>
      <c r="F120" s="30"/>
      <c r="G120" s="30"/>
      <c r="H120" s="30"/>
      <c r="I120" s="30"/>
      <c r="J120" s="30"/>
      <c r="K120" s="30"/>
      <c r="L120" s="30"/>
      <c r="M120" s="30"/>
      <c r="N120" s="30"/>
      <c r="O120" s="30"/>
      <c r="P120" s="30"/>
      <c r="Q120" s="30"/>
    </row>
    <row r="121" spans="2:17" x14ac:dyDescent="0.3">
      <c r="B121" s="30"/>
      <c r="C121" s="30"/>
      <c r="D121" s="30"/>
      <c r="E121" s="30"/>
      <c r="F121" s="30"/>
      <c r="G121" s="30"/>
      <c r="H121" s="30"/>
      <c r="I121" s="30"/>
      <c r="J121" s="30"/>
      <c r="K121" s="30"/>
      <c r="L121" s="30"/>
      <c r="M121" s="30"/>
      <c r="N121" s="30"/>
      <c r="O121" s="30"/>
      <c r="P121" s="30"/>
      <c r="Q121" s="30"/>
    </row>
    <row r="122" spans="2:17" x14ac:dyDescent="0.3">
      <c r="B122" s="30"/>
      <c r="C122" s="30"/>
      <c r="D122" s="30"/>
      <c r="E122" s="30"/>
      <c r="F122" s="30"/>
      <c r="G122" s="30"/>
      <c r="H122" s="30"/>
      <c r="I122" s="30"/>
      <c r="J122" s="30"/>
      <c r="K122" s="30"/>
      <c r="L122" s="30"/>
      <c r="M122" s="30"/>
      <c r="N122" s="30"/>
      <c r="O122" s="30"/>
      <c r="P122" s="30"/>
      <c r="Q122" s="30"/>
    </row>
    <row r="123" spans="2:17" x14ac:dyDescent="0.3">
      <c r="B123" s="30"/>
      <c r="C123" s="30"/>
      <c r="D123" s="30"/>
      <c r="E123" s="30"/>
      <c r="F123" s="30"/>
      <c r="G123" s="30"/>
      <c r="H123" s="30"/>
      <c r="I123" s="30"/>
      <c r="J123" s="30"/>
      <c r="K123" s="30"/>
      <c r="L123" s="30"/>
      <c r="M123" s="30"/>
      <c r="N123" s="30"/>
      <c r="O123" s="30"/>
      <c r="P123" s="30"/>
      <c r="Q123" s="30"/>
    </row>
    <row r="124" spans="2:17" x14ac:dyDescent="0.3">
      <c r="B124" s="30"/>
      <c r="C124" s="30"/>
      <c r="D124" s="30"/>
      <c r="E124" s="30"/>
      <c r="F124" s="30"/>
      <c r="G124" s="30"/>
      <c r="H124" s="30"/>
      <c r="I124" s="30"/>
      <c r="J124" s="30"/>
      <c r="K124" s="30"/>
      <c r="L124" s="30"/>
      <c r="M124" s="30"/>
      <c r="N124" s="30"/>
      <c r="O124" s="30"/>
      <c r="P124" s="30"/>
      <c r="Q124" s="30"/>
    </row>
    <row r="125" spans="2:17" x14ac:dyDescent="0.3">
      <c r="B125" s="30"/>
      <c r="C125" s="30"/>
      <c r="D125" s="30"/>
      <c r="E125" s="30"/>
      <c r="F125" s="30"/>
      <c r="G125" s="30"/>
      <c r="H125" s="30"/>
      <c r="I125" s="30"/>
      <c r="J125" s="30"/>
      <c r="K125" s="30"/>
      <c r="L125" s="30"/>
      <c r="M125" s="30"/>
      <c r="N125" s="30"/>
      <c r="O125" s="30"/>
      <c r="P125" s="30"/>
      <c r="Q125" s="30"/>
    </row>
    <row r="126" spans="2:17" x14ac:dyDescent="0.3">
      <c r="B126" s="30"/>
      <c r="C126" s="30"/>
      <c r="D126" s="30"/>
      <c r="E126" s="30"/>
      <c r="F126" s="30"/>
      <c r="G126" s="30"/>
      <c r="H126" s="30"/>
      <c r="I126" s="30"/>
      <c r="J126" s="30"/>
      <c r="K126" s="30"/>
      <c r="L126" s="30"/>
      <c r="M126" s="30"/>
      <c r="N126" s="30"/>
      <c r="O126" s="30"/>
      <c r="P126" s="30"/>
      <c r="Q126" s="30"/>
    </row>
    <row r="127" spans="2:17" x14ac:dyDescent="0.3">
      <c r="B127" s="30"/>
      <c r="C127" s="30"/>
      <c r="D127" s="30"/>
      <c r="E127" s="30"/>
      <c r="F127" s="30"/>
      <c r="G127" s="30"/>
      <c r="H127" s="30"/>
      <c r="I127" s="30"/>
      <c r="J127" s="30"/>
      <c r="K127" s="30"/>
      <c r="L127" s="30"/>
      <c r="M127" s="30"/>
      <c r="N127" s="30"/>
      <c r="O127" s="30"/>
      <c r="P127" s="30"/>
      <c r="Q127" s="30"/>
    </row>
    <row r="128" spans="2:17" x14ac:dyDescent="0.3">
      <c r="B128" s="30"/>
      <c r="C128" s="30"/>
      <c r="D128" s="30"/>
      <c r="E128" s="30"/>
      <c r="F128" s="30"/>
      <c r="G128" s="30"/>
      <c r="H128" s="30"/>
      <c r="I128" s="30"/>
      <c r="J128" s="30"/>
      <c r="K128" s="30"/>
      <c r="L128" s="30"/>
      <c r="M128" s="30"/>
      <c r="N128" s="30"/>
      <c r="O128" s="30"/>
      <c r="P128" s="30"/>
      <c r="Q128" s="30"/>
    </row>
    <row r="129" spans="2:17" x14ac:dyDescent="0.3">
      <c r="B129" s="30"/>
      <c r="C129" s="30"/>
      <c r="D129" s="30"/>
      <c r="E129" s="30"/>
      <c r="F129" s="30"/>
      <c r="G129" s="30"/>
      <c r="H129" s="30"/>
      <c r="I129" s="30"/>
      <c r="J129" s="30"/>
      <c r="K129" s="30"/>
      <c r="L129" s="30"/>
      <c r="M129" s="30"/>
      <c r="N129" s="30"/>
      <c r="O129" s="30"/>
      <c r="P129" s="30"/>
      <c r="Q129" s="30"/>
    </row>
    <row r="130" spans="2:17" x14ac:dyDescent="0.3">
      <c r="B130" s="30"/>
      <c r="C130" s="30"/>
      <c r="D130" s="30"/>
      <c r="E130" s="30"/>
      <c r="F130" s="30"/>
      <c r="G130" s="30"/>
      <c r="H130" s="30"/>
      <c r="I130" s="30"/>
      <c r="J130" s="30"/>
      <c r="K130" s="30"/>
      <c r="L130" s="30"/>
      <c r="M130" s="30"/>
      <c r="N130" s="30"/>
      <c r="O130" s="30"/>
      <c r="P130" s="30"/>
      <c r="Q130" s="30"/>
    </row>
    <row r="131" spans="2:17" x14ac:dyDescent="0.3">
      <c r="B131" s="30"/>
      <c r="C131" s="30"/>
      <c r="D131" s="30"/>
      <c r="E131" s="30"/>
      <c r="F131" s="30"/>
      <c r="G131" s="30"/>
      <c r="H131" s="30"/>
      <c r="I131" s="30"/>
      <c r="J131" s="30"/>
      <c r="K131" s="30"/>
      <c r="L131" s="30"/>
      <c r="M131" s="30"/>
      <c r="N131" s="30"/>
      <c r="O131" s="30"/>
      <c r="P131" s="30"/>
      <c r="Q131" s="30"/>
    </row>
    <row r="132" spans="2:17" x14ac:dyDescent="0.3">
      <c r="B132" s="30"/>
      <c r="C132" s="30"/>
      <c r="D132" s="30"/>
      <c r="E132" s="30"/>
      <c r="F132" s="30"/>
      <c r="G132" s="30"/>
      <c r="H132" s="30"/>
      <c r="I132" s="30"/>
      <c r="J132" s="30"/>
      <c r="K132" s="30"/>
      <c r="L132" s="30"/>
      <c r="M132" s="30"/>
      <c r="N132" s="30"/>
      <c r="O132" s="30"/>
      <c r="P132" s="30"/>
      <c r="Q132" s="30"/>
    </row>
    <row r="133" spans="2:17" x14ac:dyDescent="0.3">
      <c r="B133" s="30"/>
      <c r="C133" s="30"/>
      <c r="D133" s="30"/>
      <c r="E133" s="30"/>
      <c r="F133" s="30"/>
      <c r="G133" s="30"/>
      <c r="H133" s="30"/>
      <c r="I133" s="30"/>
      <c r="J133" s="30"/>
      <c r="K133" s="30"/>
      <c r="L133" s="30"/>
      <c r="M133" s="30"/>
      <c r="N133" s="30"/>
      <c r="O133" s="30"/>
      <c r="P133" s="30"/>
      <c r="Q133" s="30"/>
    </row>
    <row r="134" spans="2:17" x14ac:dyDescent="0.3">
      <c r="B134" s="30"/>
      <c r="C134" s="30"/>
      <c r="D134" s="30"/>
      <c r="E134" s="30"/>
      <c r="F134" s="30"/>
      <c r="G134" s="30"/>
      <c r="H134" s="30"/>
      <c r="I134" s="30"/>
      <c r="J134" s="30"/>
      <c r="K134" s="30"/>
      <c r="L134" s="30"/>
      <c r="M134" s="30"/>
      <c r="N134" s="30"/>
      <c r="O134" s="30"/>
      <c r="P134" s="30"/>
      <c r="Q134" s="30"/>
    </row>
    <row r="135" spans="2:17" x14ac:dyDescent="0.3">
      <c r="B135" s="30"/>
      <c r="C135" s="30"/>
      <c r="D135" s="30"/>
      <c r="E135" s="30"/>
      <c r="F135" s="30"/>
      <c r="G135" s="30"/>
      <c r="H135" s="30"/>
      <c r="I135" s="30"/>
      <c r="J135" s="30"/>
      <c r="K135" s="30"/>
      <c r="L135" s="30"/>
      <c r="M135" s="30"/>
      <c r="N135" s="30"/>
      <c r="O135" s="30"/>
      <c r="P135" s="30"/>
      <c r="Q135" s="30"/>
    </row>
    <row r="136" spans="2:17" x14ac:dyDescent="0.3">
      <c r="B136" s="30"/>
      <c r="C136" s="30"/>
      <c r="D136" s="30"/>
      <c r="E136" s="30"/>
      <c r="F136" s="30"/>
      <c r="G136" s="30"/>
      <c r="H136" s="30"/>
      <c r="I136" s="30"/>
      <c r="J136" s="30"/>
      <c r="K136" s="30"/>
      <c r="L136" s="30"/>
      <c r="M136" s="30"/>
      <c r="N136" s="30"/>
      <c r="O136" s="30"/>
      <c r="P136" s="30"/>
      <c r="Q136" s="30"/>
    </row>
    <row r="137" spans="2:17" x14ac:dyDescent="0.3">
      <c r="B137" s="30"/>
      <c r="C137" s="30"/>
      <c r="D137" s="30"/>
      <c r="E137" s="30"/>
      <c r="F137" s="30"/>
      <c r="G137" s="30"/>
      <c r="H137" s="30"/>
      <c r="I137" s="30"/>
      <c r="J137" s="30"/>
      <c r="K137" s="30"/>
      <c r="L137" s="30"/>
      <c r="M137" s="30"/>
      <c r="N137" s="30"/>
      <c r="O137" s="30"/>
      <c r="P137" s="30"/>
      <c r="Q137" s="30"/>
    </row>
    <row r="138" spans="2:17" x14ac:dyDescent="0.3">
      <c r="B138" s="30"/>
      <c r="C138" s="30"/>
      <c r="D138" s="30"/>
      <c r="E138" s="30"/>
      <c r="F138" s="30"/>
      <c r="G138" s="30"/>
      <c r="H138" s="30"/>
      <c r="I138" s="30"/>
      <c r="J138" s="30"/>
      <c r="K138" s="30"/>
      <c r="L138" s="30"/>
      <c r="M138" s="30"/>
      <c r="N138" s="30"/>
      <c r="O138" s="30"/>
      <c r="P138" s="30"/>
      <c r="Q138" s="30"/>
    </row>
    <row r="139" spans="2:17" x14ac:dyDescent="0.3">
      <c r="B139" s="30"/>
      <c r="C139" s="30"/>
      <c r="D139" s="30"/>
      <c r="E139" s="30"/>
      <c r="F139" s="30"/>
      <c r="G139" s="30"/>
      <c r="H139" s="30"/>
      <c r="I139" s="30"/>
      <c r="J139" s="30"/>
      <c r="K139" s="30"/>
      <c r="L139" s="30"/>
      <c r="M139" s="30"/>
      <c r="N139" s="30"/>
      <c r="O139" s="30"/>
      <c r="P139" s="30"/>
      <c r="Q139" s="30"/>
    </row>
    <row r="140" spans="2:17" x14ac:dyDescent="0.3">
      <c r="B140" s="30"/>
      <c r="C140" s="30"/>
      <c r="D140" s="30"/>
      <c r="E140" s="30"/>
      <c r="F140" s="30"/>
      <c r="G140" s="30"/>
      <c r="H140" s="30"/>
      <c r="I140" s="30"/>
      <c r="J140" s="30"/>
      <c r="K140" s="30"/>
      <c r="L140" s="30"/>
      <c r="M140" s="30"/>
      <c r="N140" s="30"/>
      <c r="O140" s="30"/>
      <c r="P140" s="30"/>
      <c r="Q140" s="30"/>
    </row>
    <row r="141" spans="2:17" x14ac:dyDescent="0.3">
      <c r="B141" s="30"/>
      <c r="C141" s="30"/>
      <c r="D141" s="30"/>
      <c r="E141" s="30"/>
      <c r="F141" s="30"/>
      <c r="G141" s="30"/>
      <c r="H141" s="30"/>
      <c r="I141" s="30"/>
      <c r="J141" s="30"/>
      <c r="K141" s="30"/>
      <c r="L141" s="30"/>
      <c r="M141" s="30"/>
      <c r="N141" s="30"/>
      <c r="O141" s="30"/>
      <c r="P141" s="30"/>
      <c r="Q141" s="30"/>
    </row>
    <row r="142" spans="2:17" x14ac:dyDescent="0.3">
      <c r="B142" s="30"/>
      <c r="C142" s="30"/>
      <c r="D142" s="30"/>
      <c r="E142" s="30"/>
      <c r="F142" s="30"/>
      <c r="G142" s="30"/>
      <c r="H142" s="30"/>
      <c r="I142" s="30"/>
      <c r="J142" s="30"/>
      <c r="K142" s="30"/>
      <c r="L142" s="30"/>
      <c r="M142" s="30"/>
      <c r="N142" s="30"/>
      <c r="O142" s="30"/>
      <c r="P142" s="30"/>
      <c r="Q142" s="30"/>
    </row>
    <row r="143" spans="2:17" x14ac:dyDescent="0.3">
      <c r="B143" s="30"/>
      <c r="C143" s="30"/>
      <c r="D143" s="30"/>
      <c r="E143" s="30"/>
      <c r="F143" s="30"/>
      <c r="G143" s="30"/>
      <c r="H143" s="30"/>
      <c r="I143" s="30"/>
      <c r="J143" s="30"/>
      <c r="K143" s="30"/>
      <c r="L143" s="30"/>
      <c r="M143" s="30"/>
      <c r="N143" s="30"/>
      <c r="O143" s="30"/>
      <c r="P143" s="30"/>
      <c r="Q143" s="30"/>
    </row>
    <row r="144" spans="2:17" x14ac:dyDescent="0.3">
      <c r="B144" s="30"/>
      <c r="C144" s="30"/>
      <c r="D144" s="30"/>
      <c r="E144" s="30"/>
      <c r="F144" s="30"/>
      <c r="G144" s="30"/>
      <c r="H144" s="30"/>
      <c r="I144" s="30"/>
      <c r="J144" s="30"/>
      <c r="K144" s="30"/>
      <c r="L144" s="30"/>
      <c r="M144" s="30"/>
      <c r="N144" s="30"/>
      <c r="O144" s="30"/>
      <c r="P144" s="30"/>
      <c r="Q144" s="30"/>
    </row>
    <row r="145" spans="2:17" x14ac:dyDescent="0.3">
      <c r="B145" s="30"/>
      <c r="C145" s="30"/>
      <c r="D145" s="30"/>
      <c r="E145" s="30"/>
      <c r="F145" s="30"/>
      <c r="G145" s="30"/>
      <c r="H145" s="30"/>
      <c r="I145" s="30"/>
      <c r="J145" s="30"/>
      <c r="K145" s="30"/>
      <c r="L145" s="30"/>
      <c r="M145" s="30"/>
      <c r="N145" s="30"/>
      <c r="O145" s="30"/>
      <c r="P145" s="30"/>
      <c r="Q145" s="30"/>
    </row>
    <row r="146" spans="2:17" x14ac:dyDescent="0.3">
      <c r="B146" s="30"/>
      <c r="C146" s="30"/>
      <c r="D146" s="30"/>
      <c r="E146" s="30"/>
      <c r="F146" s="30"/>
      <c r="G146" s="30"/>
      <c r="H146" s="30"/>
      <c r="I146" s="30"/>
      <c r="J146" s="30"/>
      <c r="K146" s="30"/>
      <c r="L146" s="30"/>
      <c r="M146" s="30"/>
      <c r="N146" s="30"/>
      <c r="O146" s="30"/>
      <c r="P146" s="30"/>
      <c r="Q146" s="30"/>
    </row>
    <row r="147" spans="2:17" x14ac:dyDescent="0.3">
      <c r="B147" s="30"/>
      <c r="C147" s="30"/>
      <c r="D147" s="30"/>
      <c r="E147" s="30"/>
      <c r="F147" s="30"/>
      <c r="G147" s="30"/>
      <c r="H147" s="30"/>
      <c r="I147" s="30"/>
      <c r="J147" s="30"/>
      <c r="K147" s="30"/>
      <c r="L147" s="30"/>
      <c r="M147" s="30"/>
      <c r="N147" s="30"/>
      <c r="O147" s="30"/>
      <c r="P147" s="30"/>
      <c r="Q147" s="30"/>
    </row>
    <row r="148" spans="2:17" x14ac:dyDescent="0.3">
      <c r="B148" s="30"/>
      <c r="C148" s="30"/>
      <c r="D148" s="30"/>
      <c r="E148" s="30"/>
      <c r="F148" s="30"/>
      <c r="G148" s="30"/>
      <c r="H148" s="30"/>
      <c r="I148" s="30"/>
      <c r="J148" s="30"/>
      <c r="K148" s="30"/>
      <c r="L148" s="30"/>
      <c r="M148" s="30"/>
      <c r="N148" s="30"/>
      <c r="O148" s="30"/>
      <c r="P148" s="30"/>
      <c r="Q148" s="30"/>
    </row>
    <row r="149" spans="2:17" x14ac:dyDescent="0.3">
      <c r="B149" s="30"/>
      <c r="C149" s="30"/>
      <c r="D149" s="30"/>
      <c r="E149" s="30"/>
      <c r="F149" s="30"/>
      <c r="G149" s="30"/>
      <c r="H149" s="30"/>
      <c r="I149" s="30"/>
      <c r="J149" s="30"/>
      <c r="K149" s="30"/>
      <c r="L149" s="30"/>
      <c r="M149" s="30"/>
      <c r="N149" s="30"/>
      <c r="O149" s="30"/>
      <c r="P149" s="30"/>
      <c r="Q149" s="30"/>
    </row>
    <row r="150" spans="2:17" x14ac:dyDescent="0.3">
      <c r="B150" s="30"/>
      <c r="C150" s="30"/>
      <c r="D150" s="30"/>
      <c r="E150" s="30"/>
      <c r="F150" s="30"/>
      <c r="G150" s="30"/>
      <c r="H150" s="30"/>
      <c r="I150" s="30"/>
      <c r="J150" s="30"/>
      <c r="K150" s="30"/>
      <c r="L150" s="30"/>
      <c r="M150" s="30"/>
      <c r="N150" s="30"/>
      <c r="O150" s="30"/>
      <c r="P150" s="30"/>
      <c r="Q150" s="30"/>
    </row>
    <row r="151" spans="2:17" x14ac:dyDescent="0.3">
      <c r="B151" s="30"/>
      <c r="C151" s="30"/>
      <c r="D151" s="30"/>
      <c r="E151" s="30"/>
      <c r="F151" s="30"/>
      <c r="G151" s="30"/>
      <c r="H151" s="30"/>
      <c r="I151" s="30"/>
      <c r="J151" s="30"/>
      <c r="K151" s="30"/>
      <c r="L151" s="30"/>
      <c r="M151" s="30"/>
      <c r="N151" s="30"/>
      <c r="O151" s="30"/>
      <c r="P151" s="30"/>
      <c r="Q151" s="30"/>
    </row>
    <row r="152" spans="2:17" x14ac:dyDescent="0.3">
      <c r="B152" s="30"/>
      <c r="C152" s="30"/>
      <c r="D152" s="30"/>
      <c r="E152" s="30"/>
      <c r="F152" s="30"/>
      <c r="G152" s="30"/>
      <c r="H152" s="30"/>
      <c r="I152" s="30"/>
      <c r="J152" s="30"/>
      <c r="K152" s="30"/>
      <c r="L152" s="30"/>
      <c r="M152" s="30"/>
      <c r="N152" s="30"/>
      <c r="O152" s="30"/>
      <c r="P152" s="30"/>
      <c r="Q152" s="30"/>
    </row>
    <row r="153" spans="2:17" x14ac:dyDescent="0.3">
      <c r="B153" s="30"/>
      <c r="C153" s="30"/>
      <c r="D153" s="30"/>
      <c r="E153" s="30"/>
      <c r="F153" s="30"/>
      <c r="G153" s="30"/>
      <c r="H153" s="30"/>
      <c r="I153" s="30"/>
      <c r="J153" s="30"/>
      <c r="K153" s="30"/>
      <c r="L153" s="30"/>
      <c r="M153" s="30"/>
      <c r="N153" s="30"/>
      <c r="O153" s="30"/>
      <c r="P153" s="30"/>
      <c r="Q153" s="30"/>
    </row>
    <row r="154" spans="2:17" x14ac:dyDescent="0.3">
      <c r="B154" s="30"/>
      <c r="C154" s="30"/>
      <c r="D154" s="30"/>
      <c r="E154" s="30"/>
      <c r="F154" s="30"/>
      <c r="G154" s="30"/>
      <c r="H154" s="30"/>
      <c r="I154" s="30"/>
      <c r="J154" s="30"/>
      <c r="K154" s="30"/>
      <c r="L154" s="30"/>
      <c r="M154" s="30"/>
      <c r="N154" s="30"/>
      <c r="O154" s="30"/>
      <c r="P154" s="30"/>
      <c r="Q154" s="30"/>
    </row>
    <row r="155" spans="2:17" x14ac:dyDescent="0.3">
      <c r="B155" s="30"/>
      <c r="C155" s="30"/>
      <c r="D155" s="30"/>
      <c r="E155" s="30"/>
      <c r="F155" s="30"/>
      <c r="G155" s="30"/>
      <c r="H155" s="30"/>
      <c r="I155" s="30"/>
      <c r="J155" s="30"/>
      <c r="K155" s="30"/>
      <c r="L155" s="30"/>
      <c r="M155" s="30"/>
      <c r="N155" s="30"/>
      <c r="O155" s="30"/>
      <c r="P155" s="30"/>
      <c r="Q155" s="30"/>
    </row>
    <row r="156" spans="2:17" x14ac:dyDescent="0.3">
      <c r="B156" s="30"/>
      <c r="C156" s="30"/>
      <c r="D156" s="30"/>
      <c r="E156" s="30"/>
      <c r="F156" s="30"/>
      <c r="G156" s="30"/>
      <c r="H156" s="30"/>
      <c r="I156" s="30"/>
      <c r="J156" s="30"/>
      <c r="K156" s="30"/>
      <c r="L156" s="30"/>
      <c r="M156" s="30"/>
      <c r="N156" s="30"/>
      <c r="O156" s="30"/>
      <c r="P156" s="30"/>
      <c r="Q156" s="30"/>
    </row>
    <row r="157" spans="2:17" x14ac:dyDescent="0.3">
      <c r="B157" s="30"/>
      <c r="C157" s="30"/>
      <c r="D157" s="30"/>
      <c r="E157" s="30"/>
      <c r="F157" s="30"/>
      <c r="G157" s="30"/>
      <c r="H157" s="30"/>
      <c r="I157" s="30"/>
      <c r="J157" s="30"/>
      <c r="K157" s="30"/>
      <c r="L157" s="30"/>
      <c r="M157" s="30"/>
      <c r="N157" s="30"/>
      <c r="O157" s="30"/>
      <c r="P157" s="30"/>
      <c r="Q157" s="30"/>
    </row>
    <row r="158" spans="2:17" x14ac:dyDescent="0.3">
      <c r="B158" s="30"/>
      <c r="C158" s="30"/>
      <c r="D158" s="30"/>
      <c r="E158" s="30"/>
      <c r="F158" s="30"/>
      <c r="G158" s="30"/>
      <c r="H158" s="30"/>
      <c r="I158" s="30"/>
      <c r="J158" s="30"/>
      <c r="K158" s="30"/>
      <c r="L158" s="30"/>
      <c r="M158" s="30"/>
      <c r="N158" s="30"/>
      <c r="O158" s="30"/>
      <c r="P158" s="30"/>
      <c r="Q158" s="30"/>
    </row>
    <row r="159" spans="2:17" x14ac:dyDescent="0.3">
      <c r="B159" s="30"/>
      <c r="C159" s="30"/>
      <c r="D159" s="30"/>
      <c r="E159" s="30"/>
      <c r="F159" s="30"/>
      <c r="G159" s="30"/>
      <c r="H159" s="30"/>
      <c r="I159" s="30"/>
      <c r="J159" s="30"/>
      <c r="K159" s="30"/>
      <c r="L159" s="30"/>
      <c r="M159" s="30"/>
      <c r="N159" s="30"/>
      <c r="O159" s="30"/>
      <c r="P159" s="30"/>
      <c r="Q159" s="30"/>
    </row>
    <row r="160" spans="2:17" x14ac:dyDescent="0.3">
      <c r="B160" s="30"/>
      <c r="C160" s="30"/>
      <c r="D160" s="30"/>
      <c r="E160" s="30"/>
      <c r="F160" s="30"/>
      <c r="G160" s="30"/>
      <c r="H160" s="30"/>
      <c r="I160" s="30"/>
      <c r="J160" s="30"/>
      <c r="K160" s="30"/>
      <c r="L160" s="30"/>
      <c r="M160" s="30"/>
      <c r="N160" s="30"/>
      <c r="O160" s="30"/>
      <c r="P160" s="30"/>
      <c r="Q160" s="30"/>
    </row>
    <row r="161" spans="2:17" x14ac:dyDescent="0.3">
      <c r="B161" s="30"/>
      <c r="C161" s="30"/>
      <c r="D161" s="30"/>
      <c r="E161" s="30"/>
      <c r="F161" s="30"/>
      <c r="G161" s="30"/>
      <c r="H161" s="30"/>
      <c r="I161" s="30"/>
      <c r="J161" s="30"/>
      <c r="K161" s="30"/>
      <c r="L161" s="30"/>
      <c r="M161" s="30"/>
      <c r="N161" s="30"/>
      <c r="O161" s="30"/>
      <c r="P161" s="30"/>
      <c r="Q161" s="30"/>
    </row>
    <row r="162" spans="2:17" x14ac:dyDescent="0.3">
      <c r="B162" s="30"/>
      <c r="C162" s="30"/>
      <c r="D162" s="30"/>
      <c r="E162" s="30"/>
      <c r="F162" s="30"/>
      <c r="G162" s="30"/>
      <c r="H162" s="30"/>
      <c r="I162" s="30"/>
      <c r="J162" s="30"/>
      <c r="K162" s="30"/>
      <c r="L162" s="30"/>
      <c r="M162" s="30"/>
      <c r="N162" s="30"/>
      <c r="O162" s="30"/>
      <c r="P162" s="30"/>
      <c r="Q162" s="30"/>
    </row>
    <row r="163" spans="2:17" x14ac:dyDescent="0.3">
      <c r="B163" s="30"/>
      <c r="C163" s="30"/>
      <c r="D163" s="30"/>
      <c r="E163" s="30"/>
      <c r="F163" s="30"/>
      <c r="G163" s="30"/>
      <c r="H163" s="30"/>
      <c r="I163" s="30"/>
      <c r="J163" s="30"/>
      <c r="K163" s="30"/>
      <c r="L163" s="30"/>
      <c r="M163" s="30"/>
      <c r="N163" s="30"/>
      <c r="O163" s="30"/>
      <c r="P163" s="30"/>
      <c r="Q163" s="30"/>
    </row>
    <row r="164" spans="2:17" x14ac:dyDescent="0.3">
      <c r="B164" s="30"/>
      <c r="C164" s="30"/>
      <c r="D164" s="30"/>
      <c r="E164" s="30"/>
      <c r="F164" s="30"/>
      <c r="G164" s="30"/>
      <c r="H164" s="30"/>
      <c r="I164" s="30"/>
      <c r="J164" s="30"/>
      <c r="K164" s="30"/>
      <c r="L164" s="30"/>
      <c r="M164" s="30"/>
      <c r="N164" s="30"/>
      <c r="O164" s="30"/>
      <c r="P164" s="30"/>
      <c r="Q164" s="30"/>
    </row>
    <row r="165" spans="2:17" x14ac:dyDescent="0.3">
      <c r="B165" s="30"/>
      <c r="C165" s="30"/>
      <c r="D165" s="30"/>
      <c r="E165" s="30"/>
      <c r="F165" s="30"/>
      <c r="G165" s="30"/>
      <c r="H165" s="30"/>
      <c r="I165" s="30"/>
      <c r="J165" s="30"/>
      <c r="K165" s="30"/>
      <c r="L165" s="30"/>
      <c r="M165" s="30"/>
      <c r="N165" s="30"/>
      <c r="O165" s="30"/>
      <c r="P165" s="30"/>
      <c r="Q165" s="30"/>
    </row>
    <row r="166" spans="2:17" x14ac:dyDescent="0.3">
      <c r="B166" s="30"/>
      <c r="C166" s="30"/>
      <c r="D166" s="30"/>
      <c r="E166" s="30"/>
      <c r="F166" s="30"/>
      <c r="G166" s="30"/>
      <c r="H166" s="30"/>
      <c r="I166" s="30"/>
      <c r="J166" s="30"/>
      <c r="K166" s="30"/>
      <c r="L166" s="30"/>
      <c r="M166" s="30"/>
      <c r="N166" s="30"/>
      <c r="O166" s="30"/>
      <c r="P166" s="30"/>
      <c r="Q166" s="30"/>
    </row>
    <row r="167" spans="2:17" x14ac:dyDescent="0.3">
      <c r="B167" s="30"/>
      <c r="C167" s="30"/>
      <c r="D167" s="30"/>
      <c r="E167" s="30"/>
      <c r="F167" s="30"/>
      <c r="G167" s="30"/>
      <c r="H167" s="30"/>
      <c r="I167" s="30"/>
      <c r="J167" s="30"/>
      <c r="K167" s="30"/>
      <c r="L167" s="30"/>
      <c r="M167" s="30"/>
      <c r="N167" s="30"/>
      <c r="O167" s="30"/>
      <c r="P167" s="30"/>
      <c r="Q167" s="30"/>
    </row>
    <row r="168" spans="2:17" x14ac:dyDescent="0.3">
      <c r="B168" s="30"/>
      <c r="C168" s="30"/>
      <c r="D168" s="30"/>
      <c r="E168" s="30"/>
      <c r="F168" s="30"/>
      <c r="G168" s="30"/>
      <c r="H168" s="30"/>
      <c r="I168" s="30"/>
      <c r="J168" s="30"/>
      <c r="K168" s="30"/>
      <c r="L168" s="30"/>
      <c r="M168" s="30"/>
      <c r="N168" s="30"/>
      <c r="O168" s="30"/>
      <c r="P168" s="30"/>
      <c r="Q168" s="30"/>
    </row>
    <row r="169" spans="2:17" x14ac:dyDescent="0.3">
      <c r="B169" s="30"/>
      <c r="C169" s="30"/>
      <c r="D169" s="30"/>
      <c r="E169" s="30"/>
      <c r="F169" s="30"/>
      <c r="G169" s="30"/>
      <c r="H169" s="30"/>
      <c r="I169" s="30"/>
      <c r="J169" s="30"/>
      <c r="K169" s="30"/>
      <c r="L169" s="30"/>
      <c r="M169" s="30"/>
      <c r="N169" s="30"/>
      <c r="O169" s="30"/>
      <c r="P169" s="30"/>
      <c r="Q169" s="30"/>
    </row>
    <row r="170" spans="2:17" x14ac:dyDescent="0.3">
      <c r="B170" s="30"/>
      <c r="C170" s="30"/>
      <c r="D170" s="30"/>
      <c r="E170" s="30"/>
      <c r="F170" s="30"/>
      <c r="G170" s="30"/>
      <c r="H170" s="30"/>
      <c r="I170" s="30"/>
      <c r="J170" s="30"/>
      <c r="K170" s="30"/>
      <c r="L170" s="30"/>
      <c r="M170" s="30"/>
      <c r="N170" s="30"/>
      <c r="O170" s="30"/>
      <c r="P170" s="30"/>
      <c r="Q170" s="30"/>
    </row>
    <row r="171" spans="2:17" x14ac:dyDescent="0.3">
      <c r="B171" s="30"/>
      <c r="C171" s="30"/>
      <c r="D171" s="30"/>
      <c r="E171" s="30"/>
      <c r="F171" s="30"/>
      <c r="G171" s="30"/>
      <c r="H171" s="30"/>
      <c r="I171" s="30"/>
      <c r="J171" s="30"/>
      <c r="K171" s="30"/>
      <c r="L171" s="30"/>
      <c r="M171" s="30"/>
      <c r="N171" s="30"/>
      <c r="O171" s="30"/>
      <c r="P171" s="30"/>
      <c r="Q171" s="30"/>
    </row>
    <row r="172" spans="2:17" x14ac:dyDescent="0.3">
      <c r="B172" s="30"/>
      <c r="C172" s="30"/>
      <c r="D172" s="30"/>
      <c r="E172" s="30"/>
      <c r="F172" s="30"/>
      <c r="G172" s="30"/>
      <c r="H172" s="30"/>
      <c r="I172" s="30"/>
      <c r="J172" s="30"/>
      <c r="K172" s="30"/>
      <c r="L172" s="30"/>
      <c r="M172" s="30"/>
      <c r="N172" s="30"/>
      <c r="O172" s="30"/>
      <c r="P172" s="30"/>
      <c r="Q172" s="30"/>
    </row>
    <row r="173" spans="2:17" x14ac:dyDescent="0.3">
      <c r="B173" s="30"/>
      <c r="C173" s="30"/>
      <c r="D173" s="30"/>
      <c r="E173" s="30"/>
      <c r="F173" s="30"/>
      <c r="G173" s="30"/>
      <c r="H173" s="30"/>
      <c r="I173" s="30"/>
      <c r="J173" s="30"/>
      <c r="K173" s="30"/>
      <c r="L173" s="30"/>
      <c r="M173" s="30"/>
      <c r="N173" s="30"/>
      <c r="O173" s="30"/>
      <c r="P173" s="30"/>
      <c r="Q173" s="30"/>
    </row>
    <row r="174" spans="2:17" x14ac:dyDescent="0.3">
      <c r="B174" s="30"/>
      <c r="C174" s="30"/>
      <c r="D174" s="30"/>
      <c r="E174" s="30"/>
      <c r="F174" s="30"/>
      <c r="G174" s="30"/>
      <c r="H174" s="30"/>
      <c r="I174" s="30"/>
      <c r="J174" s="30"/>
      <c r="K174" s="30"/>
      <c r="L174" s="30"/>
      <c r="M174" s="30"/>
      <c r="N174" s="30"/>
      <c r="O174" s="30"/>
      <c r="P174" s="30"/>
      <c r="Q174" s="30"/>
    </row>
    <row r="175" spans="2:17" x14ac:dyDescent="0.3">
      <c r="B175" s="30"/>
      <c r="C175" s="30"/>
      <c r="D175" s="30"/>
      <c r="E175" s="30"/>
      <c r="F175" s="30"/>
      <c r="G175" s="30"/>
      <c r="H175" s="30"/>
      <c r="I175" s="30"/>
      <c r="J175" s="30"/>
      <c r="K175" s="30"/>
      <c r="L175" s="30"/>
      <c r="M175" s="30"/>
      <c r="N175" s="30"/>
      <c r="O175" s="30"/>
      <c r="P175" s="30"/>
      <c r="Q175" s="30"/>
    </row>
    <row r="176" spans="2:17" x14ac:dyDescent="0.3">
      <c r="B176" s="30"/>
      <c r="C176" s="30"/>
      <c r="D176" s="30"/>
      <c r="E176" s="30"/>
      <c r="F176" s="30"/>
      <c r="G176" s="30"/>
      <c r="H176" s="30"/>
      <c r="I176" s="30"/>
      <c r="J176" s="30"/>
      <c r="K176" s="30"/>
      <c r="L176" s="30"/>
      <c r="M176" s="30"/>
      <c r="N176" s="30"/>
      <c r="O176" s="30"/>
      <c r="P176" s="30"/>
      <c r="Q176" s="30"/>
    </row>
    <row r="177" spans="2:17" x14ac:dyDescent="0.3">
      <c r="B177" s="30"/>
      <c r="C177" s="30"/>
      <c r="D177" s="30"/>
      <c r="E177" s="30"/>
      <c r="F177" s="30"/>
      <c r="G177" s="30"/>
      <c r="H177" s="30"/>
      <c r="I177" s="30"/>
      <c r="J177" s="30"/>
      <c r="K177" s="30"/>
      <c r="L177" s="30"/>
      <c r="M177" s="30"/>
      <c r="N177" s="30"/>
      <c r="O177" s="30"/>
      <c r="P177" s="30"/>
      <c r="Q177" s="30"/>
    </row>
    <row r="178" spans="2:17" x14ac:dyDescent="0.3">
      <c r="B178" s="30"/>
      <c r="C178" s="30"/>
      <c r="D178" s="30"/>
      <c r="E178" s="30"/>
      <c r="F178" s="30"/>
      <c r="G178" s="30"/>
      <c r="H178" s="30"/>
      <c r="I178" s="30"/>
      <c r="J178" s="30"/>
      <c r="K178" s="30"/>
      <c r="L178" s="30"/>
      <c r="M178" s="30"/>
      <c r="N178" s="30"/>
      <c r="O178" s="30"/>
      <c r="P178" s="30"/>
      <c r="Q178" s="30"/>
    </row>
    <row r="179" spans="2:17" x14ac:dyDescent="0.3">
      <c r="B179" s="30"/>
      <c r="C179" s="30"/>
      <c r="D179" s="30"/>
      <c r="E179" s="30"/>
      <c r="F179" s="30"/>
      <c r="G179" s="30"/>
      <c r="H179" s="30"/>
      <c r="I179" s="30"/>
      <c r="J179" s="30"/>
      <c r="K179" s="30"/>
      <c r="L179" s="30"/>
      <c r="M179" s="30"/>
      <c r="N179" s="30"/>
      <c r="O179" s="30"/>
      <c r="P179" s="30"/>
      <c r="Q179" s="30"/>
    </row>
    <row r="180" spans="2:17" x14ac:dyDescent="0.3">
      <c r="B180" s="30"/>
      <c r="C180" s="30"/>
      <c r="D180" s="30"/>
      <c r="E180" s="30"/>
      <c r="F180" s="30"/>
      <c r="G180" s="30"/>
      <c r="H180" s="30"/>
      <c r="I180" s="30"/>
      <c r="J180" s="30"/>
      <c r="K180" s="30"/>
      <c r="L180" s="30"/>
      <c r="M180" s="30"/>
      <c r="N180" s="30"/>
      <c r="O180" s="30"/>
      <c r="P180" s="30"/>
      <c r="Q180" s="30"/>
    </row>
    <row r="181" spans="2:17" x14ac:dyDescent="0.3">
      <c r="B181" s="30"/>
      <c r="C181" s="30"/>
      <c r="D181" s="30"/>
      <c r="E181" s="30"/>
      <c r="F181" s="30"/>
      <c r="G181" s="30"/>
      <c r="H181" s="30"/>
      <c r="I181" s="30"/>
      <c r="J181" s="30"/>
      <c r="K181" s="30"/>
      <c r="L181" s="30"/>
      <c r="M181" s="30"/>
      <c r="N181" s="30"/>
      <c r="O181" s="30"/>
      <c r="P181" s="30"/>
      <c r="Q181" s="30"/>
    </row>
    <row r="182" spans="2:17" x14ac:dyDescent="0.3">
      <c r="B182" s="30"/>
      <c r="C182" s="30"/>
      <c r="D182" s="30"/>
      <c r="E182" s="30"/>
      <c r="F182" s="30"/>
      <c r="G182" s="30"/>
      <c r="H182" s="30"/>
      <c r="I182" s="30"/>
      <c r="J182" s="30"/>
      <c r="K182" s="30"/>
      <c r="L182" s="30"/>
      <c r="M182" s="30"/>
      <c r="N182" s="30"/>
      <c r="O182" s="30"/>
      <c r="P182" s="30"/>
      <c r="Q182" s="30"/>
    </row>
    <row r="183" spans="2:17" x14ac:dyDescent="0.3">
      <c r="B183" s="30"/>
      <c r="C183" s="30"/>
      <c r="D183" s="30"/>
      <c r="E183" s="30"/>
      <c r="F183" s="30"/>
      <c r="G183" s="30"/>
      <c r="H183" s="30"/>
      <c r="I183" s="30"/>
      <c r="J183" s="30"/>
      <c r="K183" s="30"/>
      <c r="L183" s="30"/>
      <c r="M183" s="30"/>
      <c r="N183" s="30"/>
      <c r="O183" s="30"/>
      <c r="P183" s="30"/>
      <c r="Q183" s="30"/>
    </row>
    <row r="184" spans="2:17" x14ac:dyDescent="0.3">
      <c r="B184" s="30"/>
      <c r="C184" s="30"/>
      <c r="D184" s="30"/>
      <c r="E184" s="30"/>
      <c r="F184" s="30"/>
      <c r="G184" s="30"/>
      <c r="H184" s="30"/>
      <c r="I184" s="30"/>
      <c r="J184" s="30"/>
      <c r="K184" s="30"/>
      <c r="L184" s="30"/>
      <c r="M184" s="30"/>
      <c r="N184" s="30"/>
      <c r="O184" s="30"/>
      <c r="P184" s="30"/>
      <c r="Q184" s="30"/>
    </row>
    <row r="185" spans="2:17" x14ac:dyDescent="0.3">
      <c r="B185" s="30"/>
      <c r="C185" s="30"/>
      <c r="D185" s="30"/>
      <c r="E185" s="30"/>
      <c r="F185" s="30"/>
      <c r="G185" s="30"/>
      <c r="H185" s="30"/>
      <c r="I185" s="30"/>
      <c r="J185" s="30"/>
      <c r="K185" s="30"/>
      <c r="L185" s="30"/>
      <c r="M185" s="30"/>
      <c r="N185" s="30"/>
      <c r="O185" s="30"/>
      <c r="P185" s="30"/>
      <c r="Q185" s="30"/>
    </row>
    <row r="186" spans="2:17" x14ac:dyDescent="0.3">
      <c r="B186" s="30"/>
      <c r="C186" s="30"/>
      <c r="D186" s="30"/>
      <c r="E186" s="30"/>
      <c r="F186" s="30"/>
      <c r="G186" s="30"/>
      <c r="H186" s="30"/>
      <c r="I186" s="30"/>
      <c r="J186" s="30"/>
      <c r="K186" s="30"/>
      <c r="L186" s="30"/>
      <c r="M186" s="30"/>
      <c r="N186" s="30"/>
      <c r="O186" s="30"/>
      <c r="P186" s="30"/>
      <c r="Q186" s="30"/>
    </row>
    <row r="187" spans="2:17" x14ac:dyDescent="0.3">
      <c r="B187" s="30"/>
      <c r="C187" s="30"/>
      <c r="D187" s="30"/>
      <c r="E187" s="30"/>
      <c r="F187" s="30"/>
      <c r="G187" s="30"/>
      <c r="H187" s="30"/>
      <c r="I187" s="30"/>
      <c r="J187" s="30"/>
      <c r="K187" s="30"/>
      <c r="L187" s="30"/>
      <c r="M187" s="30"/>
      <c r="N187" s="30"/>
      <c r="O187" s="30"/>
      <c r="P187" s="30"/>
      <c r="Q187" s="30"/>
    </row>
    <row r="188" spans="2:17" x14ac:dyDescent="0.3">
      <c r="B188" s="30"/>
      <c r="C188" s="30"/>
      <c r="D188" s="30"/>
      <c r="E188" s="30"/>
      <c r="F188" s="30"/>
      <c r="G188" s="30"/>
      <c r="H188" s="30"/>
      <c r="I188" s="30"/>
      <c r="J188" s="30"/>
      <c r="K188" s="30"/>
      <c r="L188" s="30"/>
      <c r="M188" s="30"/>
      <c r="N188" s="30"/>
      <c r="O188" s="30"/>
      <c r="P188" s="30"/>
      <c r="Q188" s="30"/>
    </row>
    <row r="189" spans="2:17" x14ac:dyDescent="0.3">
      <c r="B189" s="30"/>
      <c r="C189" s="30"/>
      <c r="D189" s="30"/>
      <c r="E189" s="30"/>
      <c r="F189" s="30"/>
      <c r="G189" s="30"/>
      <c r="H189" s="30"/>
      <c r="I189" s="30"/>
      <c r="J189" s="30"/>
      <c r="K189" s="30"/>
      <c r="L189" s="30"/>
      <c r="M189" s="30"/>
      <c r="N189" s="30"/>
      <c r="O189" s="30"/>
      <c r="P189" s="30"/>
      <c r="Q189" s="30"/>
    </row>
    <row r="190" spans="2:17" x14ac:dyDescent="0.3">
      <c r="B190" s="30"/>
      <c r="C190" s="30"/>
      <c r="D190" s="30"/>
      <c r="E190" s="30"/>
      <c r="F190" s="30"/>
      <c r="G190" s="30"/>
      <c r="H190" s="30"/>
      <c r="I190" s="30"/>
      <c r="J190" s="30"/>
      <c r="K190" s="30"/>
      <c r="L190" s="30"/>
      <c r="M190" s="30"/>
      <c r="N190" s="30"/>
      <c r="O190" s="30"/>
      <c r="P190" s="30"/>
      <c r="Q190" s="30"/>
    </row>
    <row r="191" spans="2:17" x14ac:dyDescent="0.3">
      <c r="B191" s="30"/>
      <c r="C191" s="30"/>
      <c r="D191" s="30"/>
      <c r="E191" s="30"/>
      <c r="F191" s="30"/>
      <c r="G191" s="30"/>
      <c r="H191" s="30"/>
      <c r="I191" s="30"/>
      <c r="J191" s="30"/>
      <c r="K191" s="30"/>
      <c r="L191" s="30"/>
      <c r="M191" s="30"/>
      <c r="N191" s="30"/>
      <c r="O191" s="30"/>
      <c r="P191" s="30"/>
      <c r="Q191" s="30"/>
    </row>
    <row r="192" spans="2:17" x14ac:dyDescent="0.3">
      <c r="B192" s="30"/>
      <c r="C192" s="30"/>
      <c r="D192" s="30"/>
      <c r="E192" s="30"/>
      <c r="F192" s="30"/>
      <c r="G192" s="30"/>
      <c r="H192" s="30"/>
      <c r="I192" s="30"/>
      <c r="J192" s="30"/>
      <c r="K192" s="30"/>
      <c r="L192" s="30"/>
      <c r="M192" s="30"/>
      <c r="N192" s="30"/>
      <c r="O192" s="30"/>
      <c r="P192" s="30"/>
      <c r="Q192" s="30"/>
    </row>
    <row r="193" spans="2:17" x14ac:dyDescent="0.3">
      <c r="B193" s="30"/>
      <c r="C193" s="30"/>
      <c r="D193" s="30"/>
      <c r="E193" s="30"/>
      <c r="F193" s="30"/>
      <c r="G193" s="30"/>
      <c r="H193" s="30"/>
      <c r="I193" s="30"/>
      <c r="J193" s="30"/>
      <c r="K193" s="30"/>
      <c r="L193" s="30"/>
      <c r="M193" s="30"/>
      <c r="N193" s="30"/>
      <c r="O193" s="30"/>
      <c r="P193" s="30"/>
      <c r="Q193" s="30"/>
    </row>
    <row r="194" spans="2:17" x14ac:dyDescent="0.3">
      <c r="B194" s="30"/>
      <c r="C194" s="30"/>
      <c r="D194" s="30"/>
      <c r="E194" s="30"/>
      <c r="F194" s="30"/>
      <c r="G194" s="30"/>
      <c r="H194" s="30"/>
      <c r="I194" s="30"/>
      <c r="J194" s="30"/>
      <c r="K194" s="30"/>
      <c r="L194" s="30"/>
      <c r="M194" s="30"/>
      <c r="N194" s="30"/>
      <c r="O194" s="30"/>
      <c r="P194" s="30"/>
      <c r="Q194" s="30"/>
    </row>
    <row r="195" spans="2:17" x14ac:dyDescent="0.3">
      <c r="B195" s="30"/>
      <c r="C195" s="30"/>
      <c r="D195" s="30"/>
      <c r="E195" s="30"/>
      <c r="F195" s="30"/>
      <c r="G195" s="30"/>
      <c r="H195" s="30"/>
      <c r="I195" s="30"/>
      <c r="J195" s="30"/>
      <c r="K195" s="30"/>
      <c r="L195" s="30"/>
      <c r="M195" s="30"/>
      <c r="N195" s="30"/>
      <c r="O195" s="30"/>
      <c r="P195" s="30"/>
      <c r="Q195" s="30"/>
    </row>
    <row r="196" spans="2:17" x14ac:dyDescent="0.3">
      <c r="B196" s="30"/>
      <c r="C196" s="30"/>
      <c r="D196" s="30"/>
      <c r="E196" s="30"/>
      <c r="F196" s="30"/>
      <c r="G196" s="30"/>
      <c r="H196" s="30"/>
      <c r="I196" s="30"/>
      <c r="J196" s="30"/>
      <c r="K196" s="30"/>
      <c r="L196" s="30"/>
      <c r="M196" s="30"/>
      <c r="N196" s="30"/>
      <c r="O196" s="30"/>
      <c r="P196" s="30"/>
      <c r="Q196" s="30"/>
    </row>
    <row r="197" spans="2:17" x14ac:dyDescent="0.3">
      <c r="B197" s="30"/>
      <c r="C197" s="30"/>
      <c r="D197" s="30"/>
      <c r="E197" s="30"/>
      <c r="F197" s="30"/>
      <c r="G197" s="30"/>
      <c r="H197" s="30"/>
      <c r="I197" s="30"/>
      <c r="J197" s="30"/>
      <c r="K197" s="30"/>
      <c r="L197" s="30"/>
      <c r="M197" s="30"/>
      <c r="N197" s="30"/>
      <c r="O197" s="30"/>
      <c r="P197" s="30"/>
      <c r="Q197" s="30"/>
    </row>
    <row r="198" spans="2:17" x14ac:dyDescent="0.3">
      <c r="B198" s="30"/>
      <c r="C198" s="30"/>
      <c r="D198" s="30"/>
      <c r="E198" s="30"/>
      <c r="F198" s="30"/>
      <c r="G198" s="30"/>
      <c r="H198" s="30"/>
      <c r="I198" s="30"/>
      <c r="J198" s="30"/>
      <c r="K198" s="30"/>
      <c r="L198" s="30"/>
      <c r="M198" s="30"/>
      <c r="N198" s="30"/>
      <c r="O198" s="30"/>
      <c r="P198" s="30"/>
      <c r="Q198" s="30"/>
    </row>
    <row r="199" spans="2:17" x14ac:dyDescent="0.3">
      <c r="B199" s="30"/>
      <c r="C199" s="30"/>
      <c r="D199" s="30"/>
      <c r="E199" s="30"/>
      <c r="F199" s="30"/>
      <c r="G199" s="30"/>
      <c r="H199" s="30"/>
      <c r="I199" s="30"/>
      <c r="J199" s="30"/>
      <c r="K199" s="30"/>
      <c r="L199" s="30"/>
      <c r="M199" s="30"/>
      <c r="N199" s="30"/>
      <c r="O199" s="30"/>
      <c r="P199" s="30"/>
      <c r="Q199" s="30"/>
    </row>
    <row r="200" spans="2:17" x14ac:dyDescent="0.3">
      <c r="B200" s="30"/>
      <c r="C200" s="30"/>
      <c r="D200" s="30"/>
      <c r="E200" s="30"/>
      <c r="F200" s="30"/>
      <c r="G200" s="30"/>
      <c r="H200" s="30"/>
      <c r="I200" s="30"/>
      <c r="J200" s="30"/>
      <c r="K200" s="30"/>
      <c r="L200" s="30"/>
      <c r="M200" s="30"/>
      <c r="N200" s="30"/>
      <c r="O200" s="30"/>
      <c r="P200" s="30"/>
      <c r="Q200" s="30"/>
    </row>
    <row r="201" spans="2:17" x14ac:dyDescent="0.3">
      <c r="B201" s="30"/>
      <c r="C201" s="30"/>
      <c r="D201" s="30"/>
      <c r="E201" s="30"/>
      <c r="F201" s="30"/>
      <c r="G201" s="30"/>
      <c r="H201" s="30"/>
      <c r="I201" s="30"/>
      <c r="J201" s="30"/>
      <c r="K201" s="30"/>
      <c r="L201" s="30"/>
      <c r="M201" s="30"/>
      <c r="N201" s="30"/>
      <c r="O201" s="30"/>
      <c r="P201" s="30"/>
      <c r="Q201" s="30"/>
    </row>
    <row r="202" spans="2:17" x14ac:dyDescent="0.3">
      <c r="B202" s="30"/>
      <c r="C202" s="30"/>
      <c r="D202" s="30"/>
      <c r="E202" s="30"/>
      <c r="F202" s="30"/>
      <c r="G202" s="30"/>
      <c r="H202" s="30"/>
      <c r="I202" s="30"/>
      <c r="J202" s="30"/>
      <c r="K202" s="30"/>
      <c r="L202" s="30"/>
      <c r="M202" s="30"/>
      <c r="N202" s="30"/>
      <c r="O202" s="30"/>
      <c r="P202" s="30"/>
      <c r="Q202" s="30"/>
    </row>
    <row r="203" spans="2:17" x14ac:dyDescent="0.3">
      <c r="B203" s="30"/>
      <c r="C203" s="30"/>
      <c r="D203" s="30"/>
      <c r="E203" s="30"/>
      <c r="F203" s="30"/>
      <c r="G203" s="30"/>
      <c r="H203" s="30"/>
      <c r="I203" s="30"/>
      <c r="J203" s="30"/>
      <c r="K203" s="30"/>
      <c r="L203" s="30"/>
      <c r="M203" s="30"/>
      <c r="N203" s="30"/>
      <c r="O203" s="30"/>
      <c r="P203" s="30"/>
      <c r="Q203" s="30"/>
    </row>
    <row r="204" spans="2:17" x14ac:dyDescent="0.3">
      <c r="B204" s="30"/>
      <c r="C204" s="30"/>
      <c r="D204" s="30"/>
      <c r="E204" s="30"/>
      <c r="F204" s="30"/>
      <c r="G204" s="30"/>
      <c r="H204" s="30"/>
      <c r="I204" s="30"/>
      <c r="J204" s="30"/>
      <c r="K204" s="30"/>
      <c r="L204" s="30"/>
      <c r="M204" s="30"/>
      <c r="N204" s="30"/>
      <c r="O204" s="30"/>
      <c r="P204" s="30"/>
      <c r="Q204" s="30"/>
    </row>
    <row r="205" spans="2:17" x14ac:dyDescent="0.3">
      <c r="B205" s="30"/>
      <c r="C205" s="30"/>
      <c r="D205" s="30"/>
      <c r="E205" s="30"/>
      <c r="F205" s="30"/>
      <c r="G205" s="30"/>
      <c r="H205" s="30"/>
      <c r="I205" s="30"/>
      <c r="J205" s="30"/>
      <c r="K205" s="30"/>
      <c r="L205" s="30"/>
      <c r="M205" s="30"/>
      <c r="N205" s="30"/>
      <c r="O205" s="30"/>
      <c r="P205" s="30"/>
      <c r="Q205" s="30"/>
    </row>
    <row r="206" spans="2:17" x14ac:dyDescent="0.3">
      <c r="B206" s="30"/>
      <c r="C206" s="30"/>
      <c r="D206" s="30"/>
      <c r="E206" s="30"/>
      <c r="F206" s="30"/>
      <c r="G206" s="30"/>
      <c r="H206" s="30"/>
      <c r="I206" s="30"/>
      <c r="J206" s="30"/>
      <c r="K206" s="30"/>
      <c r="L206" s="30"/>
      <c r="M206" s="30"/>
      <c r="N206" s="30"/>
      <c r="O206" s="30"/>
      <c r="P206" s="30"/>
      <c r="Q206" s="30"/>
    </row>
    <row r="207" spans="2:17" x14ac:dyDescent="0.3">
      <c r="B207" s="30"/>
      <c r="C207" s="30"/>
      <c r="D207" s="30"/>
      <c r="E207" s="30"/>
      <c r="F207" s="30"/>
      <c r="G207" s="30"/>
      <c r="H207" s="30"/>
      <c r="I207" s="30"/>
      <c r="J207" s="30"/>
      <c r="K207" s="30"/>
      <c r="L207" s="30"/>
      <c r="M207" s="30"/>
      <c r="N207" s="30"/>
      <c r="O207" s="30"/>
      <c r="P207" s="30"/>
      <c r="Q207" s="30"/>
    </row>
    <row r="208" spans="2:17" x14ac:dyDescent="0.3">
      <c r="B208" s="30"/>
      <c r="C208" s="30"/>
      <c r="D208" s="30"/>
      <c r="E208" s="30"/>
      <c r="F208" s="30"/>
      <c r="G208" s="30"/>
      <c r="H208" s="30"/>
      <c r="I208" s="30"/>
      <c r="J208" s="30"/>
      <c r="K208" s="30"/>
      <c r="L208" s="30"/>
      <c r="M208" s="30"/>
      <c r="N208" s="30"/>
      <c r="O208" s="30"/>
      <c r="P208" s="30"/>
      <c r="Q208" s="30"/>
    </row>
    <row r="209" spans="2:17" x14ac:dyDescent="0.3">
      <c r="B209" s="30"/>
      <c r="C209" s="30"/>
      <c r="D209" s="30"/>
      <c r="E209" s="30"/>
      <c r="F209" s="30"/>
      <c r="G209" s="30"/>
      <c r="H209" s="30"/>
      <c r="I209" s="30"/>
      <c r="J209" s="30"/>
      <c r="K209" s="30"/>
      <c r="L209" s="30"/>
      <c r="M209" s="30"/>
      <c r="N209" s="30"/>
      <c r="O209" s="30"/>
      <c r="P209" s="30"/>
      <c r="Q209" s="30"/>
    </row>
    <row r="210" spans="2:17" x14ac:dyDescent="0.3">
      <c r="B210" s="30"/>
      <c r="C210" s="30"/>
      <c r="D210" s="30"/>
      <c r="E210" s="30"/>
      <c r="F210" s="30"/>
      <c r="G210" s="30"/>
      <c r="H210" s="30"/>
      <c r="I210" s="30"/>
      <c r="J210" s="30"/>
      <c r="K210" s="30"/>
      <c r="L210" s="30"/>
      <c r="M210" s="30"/>
      <c r="N210" s="30"/>
      <c r="O210" s="30"/>
      <c r="P210" s="30"/>
      <c r="Q210" s="30"/>
    </row>
    <row r="211" spans="2:17" x14ac:dyDescent="0.3">
      <c r="B211" s="30"/>
      <c r="C211" s="30"/>
      <c r="D211" s="30"/>
      <c r="E211" s="30"/>
      <c r="F211" s="30"/>
      <c r="G211" s="30"/>
      <c r="H211" s="30"/>
      <c r="I211" s="30"/>
      <c r="J211" s="30"/>
      <c r="K211" s="30"/>
      <c r="L211" s="30"/>
      <c r="M211" s="30"/>
      <c r="N211" s="30"/>
      <c r="O211" s="30"/>
      <c r="P211" s="30"/>
      <c r="Q211" s="30"/>
    </row>
    <row r="212" spans="2:17" x14ac:dyDescent="0.3">
      <c r="B212" s="30"/>
      <c r="C212" s="30"/>
      <c r="D212" s="30"/>
      <c r="E212" s="30"/>
      <c r="F212" s="30"/>
      <c r="G212" s="30"/>
      <c r="H212" s="30"/>
      <c r="I212" s="30"/>
      <c r="J212" s="30"/>
      <c r="K212" s="30"/>
      <c r="L212" s="30"/>
      <c r="M212" s="30"/>
      <c r="N212" s="30"/>
      <c r="O212" s="30"/>
      <c r="P212" s="30"/>
      <c r="Q212" s="30"/>
    </row>
    <row r="213" spans="2:17" x14ac:dyDescent="0.3">
      <c r="B213" s="30"/>
      <c r="C213" s="30"/>
      <c r="D213" s="30"/>
      <c r="E213" s="30"/>
      <c r="F213" s="30"/>
      <c r="G213" s="30"/>
      <c r="H213" s="30"/>
      <c r="I213" s="30"/>
      <c r="J213" s="30"/>
      <c r="K213" s="30"/>
      <c r="L213" s="30"/>
      <c r="M213" s="30"/>
      <c r="N213" s="30"/>
      <c r="O213" s="30"/>
      <c r="P213" s="30"/>
      <c r="Q213" s="30"/>
    </row>
    <row r="214" spans="2:17" x14ac:dyDescent="0.3">
      <c r="B214" s="30"/>
      <c r="C214" s="30"/>
      <c r="D214" s="30"/>
      <c r="E214" s="30"/>
      <c r="F214" s="30"/>
      <c r="G214" s="30"/>
      <c r="H214" s="30"/>
      <c r="I214" s="30"/>
      <c r="J214" s="30"/>
      <c r="K214" s="30"/>
      <c r="L214" s="30"/>
      <c r="M214" s="30"/>
      <c r="N214" s="30"/>
      <c r="O214" s="30"/>
      <c r="P214" s="30"/>
      <c r="Q214" s="30"/>
    </row>
    <row r="215" spans="2:17" x14ac:dyDescent="0.3">
      <c r="B215" s="30"/>
      <c r="C215" s="30"/>
      <c r="D215" s="30"/>
      <c r="E215" s="30"/>
      <c r="F215" s="30"/>
      <c r="G215" s="30"/>
      <c r="H215" s="30"/>
      <c r="I215" s="30"/>
      <c r="J215" s="30"/>
      <c r="K215" s="30"/>
      <c r="L215" s="30"/>
      <c r="M215" s="30"/>
      <c r="N215" s="30"/>
      <c r="O215" s="30"/>
      <c r="P215" s="30"/>
      <c r="Q215" s="30"/>
    </row>
    <row r="216" spans="2:17" x14ac:dyDescent="0.3">
      <c r="B216" s="30"/>
      <c r="C216" s="30"/>
      <c r="D216" s="30"/>
      <c r="E216" s="30"/>
      <c r="F216" s="30"/>
      <c r="G216" s="30"/>
      <c r="H216" s="30"/>
      <c r="I216" s="30"/>
      <c r="J216" s="30"/>
      <c r="K216" s="30"/>
      <c r="L216" s="30"/>
      <c r="M216" s="30"/>
      <c r="N216" s="30"/>
      <c r="O216" s="30"/>
      <c r="P216" s="30"/>
      <c r="Q216" s="30"/>
    </row>
    <row r="217" spans="2:17" x14ac:dyDescent="0.3">
      <c r="B217" s="30"/>
      <c r="C217" s="30"/>
      <c r="D217" s="30"/>
      <c r="E217" s="30"/>
      <c r="F217" s="30"/>
      <c r="G217" s="30"/>
      <c r="H217" s="30"/>
      <c r="I217" s="30"/>
      <c r="J217" s="30"/>
      <c r="K217" s="30"/>
      <c r="L217" s="30"/>
      <c r="M217" s="30"/>
      <c r="N217" s="30"/>
      <c r="O217" s="30"/>
      <c r="P217" s="30"/>
      <c r="Q217" s="30"/>
    </row>
    <row r="218" spans="2:17" x14ac:dyDescent="0.3">
      <c r="B218" s="30"/>
      <c r="C218" s="30"/>
      <c r="D218" s="30"/>
      <c r="E218" s="30"/>
      <c r="F218" s="30"/>
      <c r="G218" s="30"/>
      <c r="H218" s="30"/>
      <c r="I218" s="30"/>
      <c r="J218" s="30"/>
      <c r="K218" s="30"/>
      <c r="L218" s="30"/>
      <c r="M218" s="30"/>
      <c r="N218" s="30"/>
      <c r="O218" s="30"/>
      <c r="P218" s="30"/>
      <c r="Q218" s="30"/>
    </row>
    <row r="219" spans="2:17" x14ac:dyDescent="0.3">
      <c r="B219" s="30"/>
      <c r="C219" s="30"/>
      <c r="D219" s="30"/>
      <c r="E219" s="30"/>
      <c r="F219" s="30"/>
      <c r="G219" s="30"/>
      <c r="H219" s="30"/>
      <c r="I219" s="30"/>
      <c r="J219" s="30"/>
      <c r="K219" s="30"/>
      <c r="L219" s="30"/>
      <c r="M219" s="30"/>
      <c r="N219" s="30"/>
      <c r="O219" s="30"/>
      <c r="P219" s="30"/>
      <c r="Q219" s="30"/>
    </row>
    <row r="220" spans="2:17" x14ac:dyDescent="0.3">
      <c r="B220" s="30"/>
      <c r="C220" s="30"/>
      <c r="D220" s="30"/>
      <c r="E220" s="30"/>
      <c r="F220" s="30"/>
      <c r="G220" s="30"/>
      <c r="H220" s="30"/>
      <c r="I220" s="30"/>
      <c r="J220" s="30"/>
      <c r="K220" s="30"/>
      <c r="L220" s="30"/>
      <c r="M220" s="30"/>
      <c r="N220" s="30"/>
      <c r="O220" s="30"/>
      <c r="P220" s="30"/>
      <c r="Q220" s="30"/>
    </row>
    <row r="221" spans="2:17" x14ac:dyDescent="0.3">
      <c r="B221" s="30"/>
      <c r="C221" s="30"/>
      <c r="D221" s="30"/>
      <c r="E221" s="30"/>
      <c r="F221" s="30"/>
      <c r="G221" s="30"/>
      <c r="H221" s="30"/>
      <c r="I221" s="30"/>
      <c r="J221" s="30"/>
      <c r="K221" s="30"/>
      <c r="L221" s="30"/>
      <c r="M221" s="30"/>
      <c r="N221" s="30"/>
      <c r="O221" s="30"/>
      <c r="P221" s="30"/>
      <c r="Q221" s="30"/>
    </row>
    <row r="222" spans="2:17" x14ac:dyDescent="0.3">
      <c r="B222" s="30"/>
      <c r="C222" s="30"/>
      <c r="D222" s="30"/>
      <c r="E222" s="30"/>
      <c r="F222" s="30"/>
      <c r="G222" s="30"/>
      <c r="H222" s="30"/>
      <c r="I222" s="30"/>
      <c r="J222" s="30"/>
      <c r="K222" s="30"/>
      <c r="L222" s="30"/>
      <c r="M222" s="30"/>
      <c r="N222" s="30"/>
      <c r="O222" s="30"/>
      <c r="P222" s="30"/>
      <c r="Q222" s="30"/>
    </row>
    <row r="223" spans="2:17" x14ac:dyDescent="0.3">
      <c r="B223" s="30"/>
      <c r="C223" s="30"/>
      <c r="D223" s="30"/>
      <c r="E223" s="30"/>
      <c r="F223" s="30"/>
      <c r="G223" s="30"/>
      <c r="H223" s="30"/>
      <c r="I223" s="30"/>
      <c r="J223" s="30"/>
      <c r="K223" s="30"/>
      <c r="L223" s="30"/>
      <c r="M223" s="30"/>
      <c r="N223" s="30"/>
      <c r="O223" s="30"/>
      <c r="P223" s="30"/>
      <c r="Q223" s="30"/>
    </row>
    <row r="224" spans="2:17" x14ac:dyDescent="0.3">
      <c r="B224" s="30"/>
      <c r="C224" s="30"/>
      <c r="D224" s="30"/>
      <c r="E224" s="30"/>
      <c r="F224" s="30"/>
      <c r="G224" s="30"/>
      <c r="H224" s="30"/>
      <c r="I224" s="30"/>
      <c r="J224" s="30"/>
      <c r="K224" s="30"/>
      <c r="L224" s="30"/>
      <c r="M224" s="30"/>
      <c r="N224" s="30"/>
      <c r="O224" s="30"/>
      <c r="P224" s="30"/>
      <c r="Q224" s="30"/>
    </row>
    <row r="225" spans="2:17" x14ac:dyDescent="0.3">
      <c r="B225" s="30"/>
      <c r="C225" s="30"/>
      <c r="D225" s="30"/>
      <c r="E225" s="30"/>
      <c r="F225" s="30"/>
      <c r="G225" s="30"/>
      <c r="H225" s="30"/>
      <c r="I225" s="30"/>
      <c r="J225" s="30"/>
      <c r="K225" s="30"/>
      <c r="L225" s="30"/>
      <c r="M225" s="30"/>
      <c r="N225" s="30"/>
      <c r="O225" s="30"/>
      <c r="P225" s="30"/>
      <c r="Q225" s="30"/>
    </row>
    <row r="226" spans="2:17" x14ac:dyDescent="0.3">
      <c r="B226" s="30"/>
      <c r="C226" s="30"/>
      <c r="D226" s="30"/>
      <c r="E226" s="30"/>
      <c r="F226" s="30"/>
      <c r="G226" s="30"/>
      <c r="H226" s="30"/>
      <c r="I226" s="30"/>
      <c r="J226" s="30"/>
      <c r="K226" s="30"/>
      <c r="L226" s="30"/>
      <c r="M226" s="30"/>
      <c r="N226" s="30"/>
      <c r="O226" s="30"/>
      <c r="P226" s="30"/>
      <c r="Q226" s="30"/>
    </row>
    <row r="227" spans="2:17" x14ac:dyDescent="0.3">
      <c r="B227" s="30"/>
      <c r="C227" s="30"/>
      <c r="D227" s="30"/>
      <c r="E227" s="30"/>
      <c r="F227" s="30"/>
      <c r="G227" s="30"/>
      <c r="H227" s="30"/>
      <c r="I227" s="30"/>
      <c r="J227" s="30"/>
      <c r="K227" s="30"/>
      <c r="L227" s="30"/>
      <c r="M227" s="30"/>
      <c r="N227" s="30"/>
      <c r="O227" s="30"/>
      <c r="P227" s="30"/>
      <c r="Q227" s="30"/>
    </row>
    <row r="228" spans="2:17" x14ac:dyDescent="0.3">
      <c r="B228" s="30"/>
      <c r="C228" s="30"/>
      <c r="D228" s="30"/>
      <c r="E228" s="30"/>
      <c r="F228" s="30"/>
      <c r="G228" s="30"/>
      <c r="H228" s="30"/>
      <c r="I228" s="30"/>
      <c r="J228" s="30"/>
      <c r="K228" s="30"/>
      <c r="L228" s="30"/>
      <c r="M228" s="30"/>
      <c r="N228" s="30"/>
      <c r="O228" s="30"/>
      <c r="P228" s="30"/>
      <c r="Q228" s="30"/>
    </row>
    <row r="229" spans="2:17" x14ac:dyDescent="0.3">
      <c r="B229" s="30"/>
      <c r="C229" s="30"/>
      <c r="D229" s="30"/>
      <c r="E229" s="30"/>
      <c r="F229" s="30"/>
      <c r="G229" s="30"/>
      <c r="H229" s="30"/>
      <c r="I229" s="30"/>
      <c r="J229" s="30"/>
      <c r="K229" s="30"/>
      <c r="L229" s="30"/>
      <c r="M229" s="30"/>
      <c r="N229" s="30"/>
      <c r="O229" s="30"/>
      <c r="P229" s="30"/>
      <c r="Q229" s="30"/>
    </row>
    <row r="230" spans="2:17" x14ac:dyDescent="0.3">
      <c r="B230" s="30"/>
      <c r="C230" s="30"/>
      <c r="D230" s="30"/>
      <c r="E230" s="30"/>
      <c r="F230" s="30"/>
      <c r="G230" s="30"/>
      <c r="H230" s="30"/>
      <c r="I230" s="30"/>
      <c r="J230" s="30"/>
      <c r="K230" s="30"/>
      <c r="L230" s="30"/>
      <c r="M230" s="30"/>
      <c r="N230" s="30"/>
      <c r="O230" s="30"/>
      <c r="P230" s="30"/>
      <c r="Q230" s="30"/>
    </row>
    <row r="231" spans="2:17" x14ac:dyDescent="0.3">
      <c r="B231" s="30"/>
      <c r="C231" s="30"/>
      <c r="D231" s="30"/>
      <c r="E231" s="30"/>
      <c r="F231" s="30"/>
      <c r="G231" s="30"/>
      <c r="H231" s="30"/>
      <c r="I231" s="30"/>
      <c r="J231" s="30"/>
      <c r="K231" s="30"/>
      <c r="L231" s="30"/>
      <c r="M231" s="30"/>
      <c r="N231" s="30"/>
      <c r="O231" s="30"/>
      <c r="P231" s="30"/>
      <c r="Q231" s="30"/>
    </row>
    <row r="232" spans="2:17" x14ac:dyDescent="0.3">
      <c r="B232" s="30"/>
      <c r="C232" s="30"/>
      <c r="D232" s="30"/>
      <c r="E232" s="30"/>
      <c r="F232" s="30"/>
      <c r="G232" s="30"/>
      <c r="H232" s="30"/>
      <c r="I232" s="30"/>
      <c r="J232" s="30"/>
      <c r="K232" s="30"/>
      <c r="L232" s="30"/>
      <c r="M232" s="30"/>
      <c r="N232" s="30"/>
      <c r="O232" s="30"/>
      <c r="P232" s="30"/>
      <c r="Q232" s="30"/>
    </row>
    <row r="233" spans="2:17" x14ac:dyDescent="0.3">
      <c r="B233" s="30"/>
      <c r="C233" s="30"/>
      <c r="D233" s="30"/>
      <c r="E233" s="30"/>
      <c r="F233" s="30"/>
      <c r="G233" s="30"/>
      <c r="H233" s="30"/>
      <c r="I233" s="30"/>
      <c r="J233" s="30"/>
      <c r="K233" s="30"/>
      <c r="L233" s="30"/>
      <c r="M233" s="30"/>
      <c r="N233" s="30"/>
      <c r="O233" s="30"/>
      <c r="P233" s="30"/>
      <c r="Q233" s="30"/>
    </row>
    <row r="234" spans="2:17" x14ac:dyDescent="0.3">
      <c r="B234" s="30"/>
      <c r="C234" s="30"/>
      <c r="D234" s="30"/>
      <c r="E234" s="30"/>
      <c r="F234" s="30"/>
      <c r="G234" s="30"/>
      <c r="H234" s="30"/>
      <c r="I234" s="30"/>
      <c r="J234" s="30"/>
      <c r="K234" s="30"/>
      <c r="L234" s="30"/>
      <c r="M234" s="30"/>
      <c r="N234" s="30"/>
      <c r="O234" s="30"/>
      <c r="P234" s="30"/>
      <c r="Q234" s="30"/>
    </row>
    <row r="235" spans="2:17" x14ac:dyDescent="0.3">
      <c r="B235" s="30"/>
      <c r="C235" s="30"/>
      <c r="D235" s="30"/>
      <c r="E235" s="30"/>
      <c r="F235" s="30"/>
      <c r="G235" s="30"/>
      <c r="H235" s="30"/>
      <c r="I235" s="30"/>
      <c r="J235" s="30"/>
      <c r="K235" s="30"/>
      <c r="L235" s="30"/>
      <c r="M235" s="30"/>
      <c r="N235" s="30"/>
      <c r="O235" s="30"/>
      <c r="P235" s="30"/>
      <c r="Q235" s="30"/>
    </row>
    <row r="236" spans="2:17" x14ac:dyDescent="0.3">
      <c r="B236" s="30"/>
      <c r="C236" s="30"/>
      <c r="D236" s="30"/>
      <c r="E236" s="30"/>
      <c r="F236" s="30"/>
      <c r="G236" s="30"/>
      <c r="H236" s="30"/>
      <c r="I236" s="30"/>
      <c r="J236" s="30"/>
      <c r="K236" s="30"/>
      <c r="L236" s="30"/>
      <c r="M236" s="30"/>
      <c r="N236" s="30"/>
      <c r="O236" s="30"/>
      <c r="P236" s="30"/>
      <c r="Q236" s="30"/>
    </row>
    <row r="237" spans="2:17" x14ac:dyDescent="0.3">
      <c r="B237" s="30"/>
      <c r="C237" s="30"/>
      <c r="D237" s="30"/>
      <c r="E237" s="30"/>
      <c r="F237" s="30"/>
      <c r="G237" s="30"/>
      <c r="H237" s="30"/>
      <c r="I237" s="30"/>
      <c r="J237" s="30"/>
      <c r="K237" s="30"/>
      <c r="L237" s="30"/>
      <c r="M237" s="30"/>
      <c r="N237" s="30"/>
      <c r="O237" s="30"/>
      <c r="P237" s="30"/>
      <c r="Q237" s="30"/>
    </row>
    <row r="238" spans="2:17" x14ac:dyDescent="0.3">
      <c r="B238" s="30"/>
      <c r="C238" s="30"/>
      <c r="D238" s="30"/>
      <c r="E238" s="30"/>
      <c r="F238" s="30"/>
      <c r="G238" s="30"/>
      <c r="H238" s="30"/>
      <c r="I238" s="30"/>
      <c r="J238" s="30"/>
      <c r="K238" s="30"/>
      <c r="L238" s="30"/>
      <c r="M238" s="30"/>
      <c r="N238" s="30"/>
      <c r="O238" s="30"/>
      <c r="P238" s="30"/>
      <c r="Q238" s="30"/>
    </row>
    <row r="239" spans="2:17" x14ac:dyDescent="0.3">
      <c r="B239" s="30"/>
      <c r="C239" s="30"/>
      <c r="D239" s="30"/>
      <c r="E239" s="30"/>
      <c r="F239" s="30"/>
      <c r="G239" s="30"/>
      <c r="H239" s="30"/>
      <c r="I239" s="30"/>
      <c r="J239" s="30"/>
      <c r="K239" s="30"/>
      <c r="L239" s="30"/>
      <c r="M239" s="30"/>
      <c r="N239" s="30"/>
      <c r="O239" s="30"/>
      <c r="P239" s="30"/>
      <c r="Q239" s="30"/>
    </row>
    <row r="240" spans="2:17" x14ac:dyDescent="0.3">
      <c r="B240" s="30"/>
      <c r="C240" s="30"/>
      <c r="D240" s="30"/>
      <c r="E240" s="30"/>
      <c r="F240" s="30"/>
      <c r="G240" s="30"/>
      <c r="H240" s="30"/>
      <c r="I240" s="30"/>
      <c r="J240" s="30"/>
      <c r="K240" s="30"/>
      <c r="L240" s="30"/>
      <c r="M240" s="30"/>
      <c r="N240" s="30"/>
      <c r="O240" s="30"/>
      <c r="P240" s="30"/>
      <c r="Q240" s="30"/>
    </row>
    <row r="241" spans="2:17" x14ac:dyDescent="0.3">
      <c r="B241" s="30"/>
      <c r="C241" s="30"/>
      <c r="D241" s="30"/>
      <c r="E241" s="30"/>
      <c r="F241" s="30"/>
      <c r="G241" s="30"/>
      <c r="H241" s="30"/>
      <c r="I241" s="30"/>
      <c r="J241" s="30"/>
      <c r="K241" s="30"/>
      <c r="L241" s="30"/>
      <c r="M241" s="30"/>
      <c r="N241" s="30"/>
      <c r="O241" s="30"/>
      <c r="P241" s="30"/>
      <c r="Q241" s="30"/>
    </row>
    <row r="242" spans="2:17" x14ac:dyDescent="0.3">
      <c r="B242" s="30"/>
      <c r="C242" s="30"/>
      <c r="D242" s="30"/>
      <c r="E242" s="30"/>
      <c r="F242" s="30"/>
      <c r="G242" s="30"/>
      <c r="H242" s="30"/>
      <c r="I242" s="30"/>
      <c r="J242" s="30"/>
      <c r="K242" s="30"/>
      <c r="L242" s="30"/>
      <c r="M242" s="30"/>
      <c r="N242" s="30"/>
      <c r="O242" s="30"/>
      <c r="P242" s="30"/>
      <c r="Q242" s="30"/>
    </row>
    <row r="243" spans="2:17" x14ac:dyDescent="0.3">
      <c r="B243" s="30"/>
      <c r="C243" s="30"/>
      <c r="D243" s="30"/>
      <c r="E243" s="30"/>
      <c r="F243" s="30"/>
      <c r="G243" s="30"/>
      <c r="H243" s="30"/>
      <c r="I243" s="30"/>
      <c r="J243" s="30"/>
      <c r="K243" s="30"/>
      <c r="L243" s="30"/>
      <c r="M243" s="30"/>
      <c r="N243" s="30"/>
      <c r="O243" s="30"/>
      <c r="P243" s="30"/>
      <c r="Q243" s="30"/>
    </row>
    <row r="244" spans="2:17" x14ac:dyDescent="0.3">
      <c r="B244" s="30"/>
      <c r="C244" s="30"/>
      <c r="D244" s="30"/>
      <c r="E244" s="30"/>
      <c r="F244" s="30"/>
      <c r="G244" s="30"/>
      <c r="H244" s="30"/>
      <c r="I244" s="30"/>
      <c r="J244" s="30"/>
      <c r="K244" s="30"/>
      <c r="L244" s="30"/>
      <c r="M244" s="30"/>
      <c r="N244" s="30"/>
      <c r="O244" s="30"/>
      <c r="P244" s="30"/>
      <c r="Q244" s="30"/>
    </row>
    <row r="245" spans="2:17" x14ac:dyDescent="0.3">
      <c r="B245" s="30"/>
      <c r="C245" s="30"/>
      <c r="D245" s="30"/>
      <c r="E245" s="30"/>
      <c r="F245" s="30"/>
      <c r="G245" s="30"/>
      <c r="H245" s="30"/>
      <c r="I245" s="30"/>
      <c r="J245" s="30"/>
      <c r="K245" s="30"/>
      <c r="L245" s="30"/>
      <c r="M245" s="30"/>
      <c r="N245" s="30"/>
      <c r="O245" s="30"/>
      <c r="P245" s="30"/>
      <c r="Q245" s="30"/>
    </row>
    <row r="246" spans="2:17" x14ac:dyDescent="0.3">
      <c r="B246" s="30"/>
      <c r="C246" s="30"/>
      <c r="D246" s="30"/>
      <c r="E246" s="30"/>
      <c r="F246" s="30"/>
      <c r="G246" s="30"/>
      <c r="H246" s="30"/>
      <c r="I246" s="30"/>
      <c r="J246" s="30"/>
      <c r="K246" s="30"/>
      <c r="L246" s="30"/>
      <c r="M246" s="30"/>
      <c r="N246" s="30"/>
      <c r="O246" s="30"/>
      <c r="P246" s="30"/>
      <c r="Q246" s="30"/>
    </row>
    <row r="247" spans="2:17" x14ac:dyDescent="0.3">
      <c r="B247" s="30"/>
      <c r="C247" s="30"/>
      <c r="D247" s="30"/>
      <c r="E247" s="30"/>
      <c r="F247" s="30"/>
      <c r="G247" s="30"/>
      <c r="H247" s="30"/>
      <c r="I247" s="30"/>
      <c r="J247" s="30"/>
      <c r="K247" s="30"/>
      <c r="L247" s="30"/>
      <c r="M247" s="30"/>
      <c r="N247" s="30"/>
      <c r="O247" s="30"/>
      <c r="P247" s="30"/>
      <c r="Q247" s="30"/>
    </row>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28">
    <tabColor indexed="50"/>
    <outlinePr applyStyles="1" summaryBelow="0"/>
    <pageSetUpPr fitToPage="1"/>
  </sheetPr>
  <dimension ref="A2:S139"/>
  <sheetViews>
    <sheetView workbookViewId="0">
      <selection activeCell="A113" sqref="A113"/>
    </sheetView>
  </sheetViews>
  <sheetFormatPr defaultColWidth="9.109375" defaultRowHeight="13.8" outlineLevelRow="4" x14ac:dyDescent="0.3"/>
  <cols>
    <col min="1" max="1" width="52" style="26" customWidth="1"/>
    <col min="2" max="7" width="16.3320312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VALUAH</f>
        <v>млрд. грн</v>
      </c>
    </row>
    <row r="5" spans="1:19" s="18" customFormat="1" x14ac:dyDescent="0.25">
      <c r="A5" s="16"/>
      <c r="B5" s="17">
        <v>44561</v>
      </c>
      <c r="C5" s="17">
        <v>44926</v>
      </c>
      <c r="D5" s="17">
        <v>45291</v>
      </c>
      <c r="E5" s="17">
        <v>45657</v>
      </c>
      <c r="F5" s="17">
        <v>46022</v>
      </c>
      <c r="G5" s="17">
        <v>46265</v>
      </c>
    </row>
    <row r="6" spans="1:19" s="19" customFormat="1" ht="31.2" x14ac:dyDescent="0.25">
      <c r="A6" s="154"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6" s="25">
        <f t="shared" ref="B6:G6" si="0">B$7+B$72</f>
        <v>2672.0600203157701</v>
      </c>
      <c r="C6" s="25">
        <f t="shared" si="0"/>
        <v>4075.5678381492698</v>
      </c>
      <c r="D6" s="25">
        <f t="shared" si="0"/>
        <v>5519.6354586101497</v>
      </c>
      <c r="E6" s="25">
        <f t="shared" si="0"/>
        <v>6980.9858852455818</v>
      </c>
      <c r="F6" s="25">
        <f t="shared" si="0"/>
        <v>9042.6770279453904</v>
      </c>
      <c r="G6" s="25">
        <f t="shared" si="0"/>
        <v>9602.8930637009707</v>
      </c>
    </row>
    <row r="7" spans="1:19" s="20" customFormat="1" ht="14.4" outlineLevel="1" x14ac:dyDescent="0.25">
      <c r="A7" s="196" t="s">
        <v>1</v>
      </c>
      <c r="B7" s="197">
        <f t="shared" ref="B7:G7" si="1">B$8+B$27</f>
        <v>2362.7201507571899</v>
      </c>
      <c r="C7" s="197">
        <f t="shared" si="1"/>
        <v>3715.1336317660898</v>
      </c>
      <c r="D7" s="197">
        <f t="shared" si="1"/>
        <v>5188.0907415274296</v>
      </c>
      <c r="E7" s="197">
        <f t="shared" si="1"/>
        <v>6692.4747759279717</v>
      </c>
      <c r="F7" s="197">
        <f t="shared" si="1"/>
        <v>8765.9940256002701</v>
      </c>
      <c r="G7" s="197">
        <f t="shared" si="1"/>
        <v>9345.0806751427208</v>
      </c>
    </row>
    <row r="8" spans="1:19" s="21" customFormat="1" ht="14.4" outlineLevel="2" collapsed="1" x14ac:dyDescent="0.25">
      <c r="A8" s="198" t="s">
        <v>3</v>
      </c>
      <c r="B8" s="199">
        <f t="shared" ref="B8:G8" si="2">B$9+B$25</f>
        <v>1062.5590347498198</v>
      </c>
      <c r="C8" s="199">
        <f t="shared" si="2"/>
        <v>1389.69025235494</v>
      </c>
      <c r="D8" s="199">
        <f t="shared" si="2"/>
        <v>1587.69758465976</v>
      </c>
      <c r="E8" s="199">
        <f t="shared" si="2"/>
        <v>1863.1321174541802</v>
      </c>
      <c r="F8" s="199">
        <f t="shared" si="2"/>
        <v>1967.2075927833</v>
      </c>
      <c r="G8" s="199">
        <f t="shared" si="2"/>
        <v>2003.3651225245599</v>
      </c>
    </row>
    <row r="9" spans="1:19" s="22" customFormat="1" hidden="1" outlineLevel="3" x14ac:dyDescent="0.25">
      <c r="A9" s="186" t="s">
        <v>4</v>
      </c>
      <c r="B9" s="187">
        <f t="shared" ref="B9:G9" si="3">SUM(B$10:B$24)</f>
        <v>1060.7074994345999</v>
      </c>
      <c r="C9" s="187">
        <f t="shared" si="3"/>
        <v>1387.9709695622</v>
      </c>
      <c r="D9" s="187">
        <f t="shared" si="3"/>
        <v>1586.1105543895001</v>
      </c>
      <c r="E9" s="187">
        <f t="shared" si="3"/>
        <v>1861.6773397064001</v>
      </c>
      <c r="F9" s="187">
        <f t="shared" si="3"/>
        <v>1965.8850675579999</v>
      </c>
      <c r="G9" s="187">
        <f t="shared" si="3"/>
        <v>2002.1087235604998</v>
      </c>
    </row>
    <row r="10" spans="1:19" s="42" customFormat="1" hidden="1" outlineLevel="4" x14ac:dyDescent="0.25">
      <c r="A10" s="188" t="s">
        <v>5</v>
      </c>
      <c r="B10" s="180">
        <v>1.5</v>
      </c>
      <c r="C10" s="180">
        <v>0</v>
      </c>
      <c r="D10" s="180">
        <v>0</v>
      </c>
      <c r="E10" s="180">
        <v>0</v>
      </c>
      <c r="F10" s="180">
        <v>0</v>
      </c>
      <c r="G10" s="180">
        <v>0</v>
      </c>
    </row>
    <row r="11" spans="1:19" hidden="1" outlineLevel="4" x14ac:dyDescent="0.3">
      <c r="A11" s="189" t="s">
        <v>6</v>
      </c>
      <c r="B11" s="190">
        <v>0.33</v>
      </c>
      <c r="C11" s="190">
        <v>0.33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57.588839999999998</v>
      </c>
      <c r="C12" s="190">
        <v>47.588839999999998</v>
      </c>
      <c r="D12" s="190">
        <v>35.088839999999998</v>
      </c>
      <c r="E12" s="190">
        <v>4.25</v>
      </c>
      <c r="F12" s="190">
        <v>4.25</v>
      </c>
      <c r="G12" s="190">
        <v>4.25</v>
      </c>
      <c r="H12" s="30"/>
      <c r="I12" s="30"/>
      <c r="J12" s="30"/>
      <c r="K12" s="30"/>
      <c r="L12" s="30"/>
      <c r="M12" s="30"/>
      <c r="N12" s="30"/>
      <c r="O12" s="30"/>
      <c r="P12" s="30"/>
      <c r="Q12" s="30"/>
    </row>
    <row r="13" spans="1:19" hidden="1" outlineLevel="4" x14ac:dyDescent="0.3">
      <c r="A13" s="189" t="s">
        <v>8</v>
      </c>
      <c r="B13" s="190">
        <v>34.836998000000001</v>
      </c>
      <c r="C13" s="190">
        <v>34.836998000000001</v>
      </c>
      <c r="D13" s="190">
        <v>34.836998000000001</v>
      </c>
      <c r="E13" s="190">
        <v>34.836998000000001</v>
      </c>
      <c r="F13" s="190">
        <v>23.9</v>
      </c>
      <c r="G13" s="190">
        <v>15.2</v>
      </c>
      <c r="H13" s="30"/>
      <c r="I13" s="30"/>
      <c r="J13" s="30"/>
      <c r="K13" s="30"/>
      <c r="L13" s="30"/>
      <c r="M13" s="30"/>
      <c r="N13" s="30"/>
      <c r="O13" s="30"/>
      <c r="P13" s="30"/>
      <c r="Q13" s="30"/>
    </row>
    <row r="14" spans="1:19" hidden="1" outlineLevel="4" x14ac:dyDescent="0.3">
      <c r="A14" s="189" t="s">
        <v>9</v>
      </c>
      <c r="B14" s="190">
        <v>129.91551799999999</v>
      </c>
      <c r="C14" s="190">
        <v>129.91551799999999</v>
      </c>
      <c r="D14" s="190">
        <v>121.215518</v>
      </c>
      <c r="E14" s="190">
        <v>121.215518</v>
      </c>
      <c r="F14" s="190">
        <v>110.259998</v>
      </c>
      <c r="G14" s="190">
        <v>106.94099799999999</v>
      </c>
      <c r="H14" s="30"/>
      <c r="I14" s="30"/>
      <c r="J14" s="30"/>
      <c r="K14" s="30"/>
      <c r="L14" s="30"/>
      <c r="M14" s="30"/>
      <c r="N14" s="30"/>
      <c r="O14" s="30"/>
      <c r="P14" s="30"/>
      <c r="Q14" s="30"/>
    </row>
    <row r="15" spans="1:19" hidden="1" outlineLevel="4" x14ac:dyDescent="0.3">
      <c r="A15" s="189" t="s">
        <v>10</v>
      </c>
      <c r="B15" s="190">
        <v>292.20047499999998</v>
      </c>
      <c r="C15" s="190">
        <v>290.266908</v>
      </c>
      <c r="D15" s="190">
        <v>290.266908</v>
      </c>
      <c r="E15" s="190">
        <v>290.266908</v>
      </c>
      <c r="F15" s="190">
        <v>285.266908</v>
      </c>
      <c r="G15" s="190">
        <v>285.266908</v>
      </c>
      <c r="H15" s="30"/>
      <c r="I15" s="30"/>
      <c r="J15" s="30"/>
      <c r="K15" s="30"/>
      <c r="L15" s="30"/>
      <c r="M15" s="30"/>
      <c r="N15" s="30"/>
      <c r="O15" s="30"/>
      <c r="P15" s="30"/>
      <c r="Q15" s="30"/>
    </row>
    <row r="16" spans="1:19" hidden="1" outlineLevel="4" x14ac:dyDescent="0.3">
      <c r="A16" s="189" t="s">
        <v>11</v>
      </c>
      <c r="B16" s="190">
        <v>1.698307</v>
      </c>
      <c r="C16" s="190">
        <v>0.686307</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79.893232999999995</v>
      </c>
      <c r="C17" s="190">
        <v>53.936632000000003</v>
      </c>
      <c r="D17" s="190">
        <v>33.865155999999999</v>
      </c>
      <c r="E17" s="190">
        <v>33.865155999999999</v>
      </c>
      <c r="F17" s="190">
        <v>0</v>
      </c>
      <c r="G17" s="190">
        <v>0</v>
      </c>
      <c r="H17" s="30"/>
      <c r="I17" s="30"/>
      <c r="J17" s="30"/>
      <c r="K17" s="30"/>
      <c r="L17" s="30"/>
      <c r="M17" s="30"/>
      <c r="N17" s="30"/>
      <c r="O17" s="30"/>
      <c r="P17" s="30"/>
      <c r="Q17" s="30"/>
    </row>
    <row r="18" spans="1:17" hidden="1" outlineLevel="4" x14ac:dyDescent="0.3">
      <c r="A18" s="189" t="s">
        <v>13</v>
      </c>
      <c r="B18" s="190">
        <v>67.678838495799994</v>
      </c>
      <c r="C18" s="190">
        <v>37.319311999999996</v>
      </c>
      <c r="D18" s="190">
        <v>21.017710000000001</v>
      </c>
      <c r="E18" s="190">
        <v>17.930167000000001</v>
      </c>
      <c r="F18" s="190">
        <v>10.714916000000001</v>
      </c>
      <c r="G18" s="190">
        <v>10.714916000000001</v>
      </c>
      <c r="H18" s="30"/>
      <c r="I18" s="30"/>
      <c r="J18" s="30"/>
      <c r="K18" s="30"/>
      <c r="L18" s="30"/>
      <c r="M18" s="30"/>
      <c r="N18" s="30"/>
      <c r="O18" s="30"/>
      <c r="P18" s="30"/>
      <c r="Q18" s="30"/>
    </row>
    <row r="19" spans="1:17" hidden="1" outlineLevel="4" x14ac:dyDescent="0.3">
      <c r="A19" s="189" t="s">
        <v>14</v>
      </c>
      <c r="B19" s="190">
        <v>395.06528993879999</v>
      </c>
      <c r="C19" s="190">
        <v>151.69576358020001</v>
      </c>
      <c r="D19" s="190">
        <v>65.079080000000005</v>
      </c>
      <c r="E19" s="190">
        <v>39.165810999999998</v>
      </c>
      <c r="F19" s="190">
        <v>39.165810999999998</v>
      </c>
      <c r="G19" s="190">
        <v>28.217123000000001</v>
      </c>
      <c r="H19" s="30"/>
      <c r="I19" s="30"/>
      <c r="J19" s="30"/>
      <c r="K19" s="30"/>
      <c r="L19" s="30"/>
      <c r="M19" s="30"/>
      <c r="N19" s="30"/>
      <c r="O19" s="30"/>
      <c r="P19" s="30"/>
      <c r="Q19" s="30"/>
    </row>
    <row r="20" spans="1:17" hidden="1" outlineLevel="4" x14ac:dyDescent="0.3">
      <c r="A20" s="189" t="s">
        <v>15</v>
      </c>
      <c r="B20" s="190">
        <v>0</v>
      </c>
      <c r="C20" s="190">
        <v>641.39469098200004</v>
      </c>
      <c r="D20" s="190">
        <v>468.84620486109998</v>
      </c>
      <c r="E20" s="190">
        <v>430.13350000000003</v>
      </c>
      <c r="F20" s="190">
        <v>430.13350000000003</v>
      </c>
      <c r="G20" s="190">
        <v>430.01295199999998</v>
      </c>
      <c r="H20" s="30"/>
      <c r="I20" s="30"/>
      <c r="J20" s="30"/>
      <c r="K20" s="30"/>
      <c r="L20" s="30"/>
      <c r="M20" s="30"/>
      <c r="N20" s="30"/>
      <c r="O20" s="30"/>
      <c r="P20" s="30"/>
      <c r="Q20" s="30"/>
    </row>
    <row r="21" spans="1:17" hidden="1" outlineLevel="4" x14ac:dyDescent="0.3">
      <c r="A21" s="189" t="s">
        <v>16</v>
      </c>
      <c r="B21" s="190">
        <v>0</v>
      </c>
      <c r="C21" s="190">
        <v>0</v>
      </c>
      <c r="D21" s="190">
        <v>515.89413952840005</v>
      </c>
      <c r="E21" s="190">
        <v>247.557170544</v>
      </c>
      <c r="F21" s="190">
        <v>95.211151999999998</v>
      </c>
      <c r="G21" s="190">
        <v>41.383262999999999</v>
      </c>
      <c r="H21" s="30"/>
      <c r="I21" s="30"/>
      <c r="J21" s="30"/>
      <c r="K21" s="30"/>
      <c r="L21" s="30"/>
      <c r="M21" s="30"/>
      <c r="N21" s="30"/>
      <c r="O21" s="30"/>
      <c r="P21" s="30"/>
      <c r="Q21" s="30"/>
    </row>
    <row r="22" spans="1:17" hidden="1" outlineLevel="4" x14ac:dyDescent="0.3">
      <c r="A22" s="189" t="s">
        <v>17</v>
      </c>
      <c r="B22" s="190">
        <v>0</v>
      </c>
      <c r="C22" s="190">
        <v>0</v>
      </c>
      <c r="D22" s="190">
        <v>0</v>
      </c>
      <c r="E22" s="190">
        <v>642.45611116240002</v>
      </c>
      <c r="F22" s="190">
        <v>381.66207600000001</v>
      </c>
      <c r="G22" s="190">
        <v>254.21695</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585.32070655799998</v>
      </c>
      <c r="G23" s="190">
        <v>492.98721780170001</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332.91839575879999</v>
      </c>
      <c r="H24" s="30"/>
      <c r="I24" s="30"/>
      <c r="J24" s="30"/>
      <c r="K24" s="30"/>
      <c r="L24" s="30"/>
      <c r="M24" s="30"/>
      <c r="N24" s="30"/>
      <c r="O24" s="30"/>
      <c r="P24" s="30"/>
      <c r="Q24" s="30"/>
    </row>
    <row r="25" spans="1:17" hidden="1" outlineLevel="3" x14ac:dyDescent="0.3">
      <c r="A25" s="191" t="s">
        <v>20</v>
      </c>
      <c r="B25" s="190">
        <f t="shared" ref="B25:G25" si="4">SUM(B$26:B$26)</f>
        <v>1.85153531522</v>
      </c>
      <c r="C25" s="190">
        <f t="shared" si="4"/>
        <v>1.7192827927400001</v>
      </c>
      <c r="D25" s="190">
        <f t="shared" si="4"/>
        <v>1.5870302702600001</v>
      </c>
      <c r="E25" s="190">
        <f t="shared" si="4"/>
        <v>1.4547777477799999</v>
      </c>
      <c r="F25" s="190">
        <f t="shared" si="4"/>
        <v>1.3225252252999999</v>
      </c>
      <c r="G25" s="190">
        <f t="shared" si="4"/>
        <v>1.25639896406</v>
      </c>
      <c r="H25" s="30"/>
      <c r="I25" s="30"/>
      <c r="J25" s="30"/>
      <c r="K25" s="30"/>
      <c r="L25" s="30"/>
      <c r="M25" s="30"/>
      <c r="N25" s="30"/>
      <c r="O25" s="30"/>
      <c r="P25" s="30"/>
      <c r="Q25" s="30"/>
    </row>
    <row r="26" spans="1:17" hidden="1" outlineLevel="4" x14ac:dyDescent="0.3">
      <c r="A26" s="189" t="s">
        <v>21</v>
      </c>
      <c r="B26" s="190">
        <v>1.85153531522</v>
      </c>
      <c r="C26" s="190">
        <v>1.7192827927400001</v>
      </c>
      <c r="D26" s="190">
        <v>1.5870302702600001</v>
      </c>
      <c r="E26" s="190">
        <v>1.4547777477799999</v>
      </c>
      <c r="F26" s="190">
        <v>1.3225252252999999</v>
      </c>
      <c r="G26" s="190">
        <v>1.25639896406</v>
      </c>
      <c r="H26" s="30"/>
      <c r="I26" s="30"/>
      <c r="J26" s="30"/>
      <c r="K26" s="30"/>
      <c r="L26" s="30"/>
      <c r="M26" s="30"/>
      <c r="N26" s="30"/>
      <c r="O26" s="30"/>
      <c r="P26" s="30"/>
      <c r="Q26" s="30"/>
    </row>
    <row r="27" spans="1:17" ht="14.4" outlineLevel="2" collapsed="1" x14ac:dyDescent="0.3">
      <c r="A27" s="200" t="s">
        <v>22</v>
      </c>
      <c r="B27" s="201">
        <f t="shared" ref="B27:G27" si="5">B$28+B$39+B$50+B$52+B$59+B$68+B$70</f>
        <v>1300.1611160073699</v>
      </c>
      <c r="C27" s="201">
        <f t="shared" si="5"/>
        <v>2325.4433794111501</v>
      </c>
      <c r="D27" s="201">
        <f t="shared" si="5"/>
        <v>3600.3931568676699</v>
      </c>
      <c r="E27" s="201">
        <f t="shared" si="5"/>
        <v>4829.3426584737917</v>
      </c>
      <c r="F27" s="201">
        <f t="shared" si="5"/>
        <v>6798.7864328169699</v>
      </c>
      <c r="G27" s="201">
        <f t="shared" si="5"/>
        <v>7341.7155526181605</v>
      </c>
      <c r="H27" s="30"/>
      <c r="I27" s="30"/>
      <c r="J27" s="30"/>
      <c r="K27" s="30"/>
      <c r="L27" s="30"/>
      <c r="M27" s="30"/>
      <c r="N27" s="30"/>
      <c r="O27" s="30"/>
      <c r="P27" s="30"/>
      <c r="Q27" s="30"/>
    </row>
    <row r="28" spans="1:17" hidden="1" outlineLevel="3" x14ac:dyDescent="0.3">
      <c r="A28" s="191" t="s">
        <v>23</v>
      </c>
      <c r="B28" s="190">
        <f t="shared" ref="B28:G28" si="6">SUM(B$29:B$38)</f>
        <v>463.16791086648999</v>
      </c>
      <c r="C28" s="190">
        <f t="shared" si="6"/>
        <v>1100.2564081594501</v>
      </c>
      <c r="D28" s="190">
        <f t="shared" si="6"/>
        <v>2252.5797122582303</v>
      </c>
      <c r="E28" s="190">
        <f t="shared" si="6"/>
        <v>3482.0058410421207</v>
      </c>
      <c r="F28" s="190">
        <f t="shared" si="6"/>
        <v>5234.2600089153393</v>
      </c>
      <c r="G28" s="190">
        <f t="shared" si="6"/>
        <v>5695.6404242189501</v>
      </c>
      <c r="H28" s="30"/>
      <c r="I28" s="30"/>
      <c r="J28" s="30"/>
      <c r="K28" s="30"/>
      <c r="L28" s="30"/>
      <c r="M28" s="30"/>
      <c r="N28" s="30"/>
      <c r="O28" s="30"/>
      <c r="P28" s="30"/>
      <c r="Q28" s="30"/>
    </row>
    <row r="29" spans="1:17" hidden="1" outlineLevel="4" x14ac:dyDescent="0.3">
      <c r="A29" s="189" t="s">
        <v>24</v>
      </c>
      <c r="B29" s="190">
        <v>6.1845200000000003E-2</v>
      </c>
      <c r="C29" s="190">
        <v>7.7901999999999999E-2</v>
      </c>
      <c r="D29" s="190">
        <v>0.25340819184000002</v>
      </c>
      <c r="E29" s="190">
        <v>0.48186126030999998</v>
      </c>
      <c r="F29" s="190">
        <v>0.48614260887999999</v>
      </c>
      <c r="G29" s="190">
        <v>0.47425999490999998</v>
      </c>
      <c r="H29" s="30"/>
      <c r="I29" s="30"/>
      <c r="J29" s="30"/>
      <c r="K29" s="30"/>
      <c r="L29" s="30"/>
      <c r="M29" s="30"/>
      <c r="N29" s="30"/>
      <c r="O29" s="30"/>
      <c r="P29" s="30"/>
      <c r="Q29" s="30"/>
    </row>
    <row r="30" spans="1:17" hidden="1" outlineLevel="4" x14ac:dyDescent="0.3">
      <c r="A30" s="189" t="s">
        <v>25</v>
      </c>
      <c r="B30" s="190">
        <v>0</v>
      </c>
      <c r="C30" s="190">
        <v>0</v>
      </c>
      <c r="D30" s="190">
        <v>0</v>
      </c>
      <c r="E30" s="190">
        <v>5.08672720701</v>
      </c>
      <c r="F30" s="190">
        <v>22.867781216129998</v>
      </c>
      <c r="G30" s="190">
        <v>26.571688903249999</v>
      </c>
      <c r="H30" s="30"/>
      <c r="I30" s="30"/>
      <c r="J30" s="30"/>
      <c r="K30" s="30"/>
      <c r="L30" s="30"/>
      <c r="M30" s="30"/>
      <c r="N30" s="30"/>
      <c r="O30" s="30"/>
      <c r="P30" s="30"/>
      <c r="Q30" s="30"/>
    </row>
    <row r="31" spans="1:17" hidden="1" outlineLevel="4" x14ac:dyDescent="0.3">
      <c r="A31" s="189" t="s">
        <v>26</v>
      </c>
      <c r="B31" s="190">
        <v>10.537976948860001</v>
      </c>
      <c r="C31" s="190">
        <v>9.4549938057599991</v>
      </c>
      <c r="D31" s="190">
        <v>7.3589337960099996</v>
      </c>
      <c r="E31" s="190">
        <v>4.2521896911699999</v>
      </c>
      <c r="F31" s="190">
        <v>2.67230830477</v>
      </c>
      <c r="G31" s="190">
        <v>2.96085025038</v>
      </c>
      <c r="H31" s="30"/>
      <c r="I31" s="30"/>
      <c r="J31" s="30"/>
      <c r="K31" s="30"/>
      <c r="L31" s="30"/>
      <c r="M31" s="30"/>
      <c r="N31" s="30"/>
      <c r="O31" s="30"/>
      <c r="P31" s="30"/>
      <c r="Q31" s="30"/>
    </row>
    <row r="32" spans="1:17" hidden="1" outlineLevel="4" x14ac:dyDescent="0.3">
      <c r="A32" s="189" t="s">
        <v>27</v>
      </c>
      <c r="B32" s="190">
        <v>27.704960040149999</v>
      </c>
      <c r="C32" s="190">
        <v>98.126692472870005</v>
      </c>
      <c r="D32" s="190">
        <v>115.07812630904</v>
      </c>
      <c r="E32" s="190">
        <v>124.11142454661</v>
      </c>
      <c r="F32" s="190">
        <v>142.48457794754</v>
      </c>
      <c r="G32" s="190">
        <v>144.39068086498</v>
      </c>
      <c r="H32" s="30"/>
      <c r="I32" s="30"/>
      <c r="J32" s="30"/>
      <c r="K32" s="30"/>
      <c r="L32" s="30"/>
      <c r="M32" s="30"/>
      <c r="N32" s="30"/>
      <c r="O32" s="30"/>
      <c r="P32" s="30"/>
      <c r="Q32" s="30"/>
    </row>
    <row r="33" spans="1:17" hidden="1" outlineLevel="4" x14ac:dyDescent="0.3">
      <c r="A33" s="189" t="s">
        <v>28</v>
      </c>
      <c r="B33" s="190">
        <v>136.36866599999999</v>
      </c>
      <c r="C33" s="190">
        <v>452.22111000000001</v>
      </c>
      <c r="D33" s="190">
        <v>1249.7759189999999</v>
      </c>
      <c r="E33" s="190">
        <v>1850.2552231591801</v>
      </c>
      <c r="F33" s="190">
        <v>2601.18318191345</v>
      </c>
      <c r="G33" s="190">
        <v>2830.9019232304099</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903.18520265950997</v>
      </c>
      <c r="G34" s="190">
        <v>931.09684573958998</v>
      </c>
      <c r="H34" s="30"/>
      <c r="I34" s="30"/>
      <c r="J34" s="30"/>
      <c r="K34" s="30"/>
      <c r="L34" s="30"/>
      <c r="M34" s="30"/>
      <c r="N34" s="30"/>
      <c r="O34" s="30"/>
      <c r="P34" s="30"/>
      <c r="Q34" s="30"/>
    </row>
    <row r="35" spans="1:17" hidden="1" outlineLevel="4" x14ac:dyDescent="0.3">
      <c r="A35" s="189" t="s">
        <v>30</v>
      </c>
      <c r="B35" s="190">
        <v>0</v>
      </c>
      <c r="C35" s="190">
        <v>21.085527195080001</v>
      </c>
      <c r="D35" s="190">
        <v>39.914098248590001</v>
      </c>
      <c r="E35" s="190">
        <v>243.43083023539</v>
      </c>
      <c r="F35" s="190">
        <v>283.18043197063002</v>
      </c>
      <c r="G35" s="190">
        <v>293.68851629141</v>
      </c>
      <c r="H35" s="30"/>
      <c r="I35" s="30"/>
      <c r="J35" s="30"/>
      <c r="K35" s="30"/>
      <c r="L35" s="30"/>
      <c r="M35" s="30"/>
      <c r="N35" s="30"/>
      <c r="O35" s="30"/>
      <c r="P35" s="30"/>
      <c r="Q35" s="30"/>
    </row>
    <row r="36" spans="1:17" hidden="1" outlineLevel="4" x14ac:dyDescent="0.3">
      <c r="A36" s="189" t="s">
        <v>31</v>
      </c>
      <c r="B36" s="190">
        <v>167.90406736776001</v>
      </c>
      <c r="C36" s="190">
        <v>282.38035135726</v>
      </c>
      <c r="D36" s="190">
        <v>455.94914315625999</v>
      </c>
      <c r="E36" s="190">
        <v>679.98849281046</v>
      </c>
      <c r="F36" s="190">
        <v>698.98622995717005</v>
      </c>
      <c r="G36" s="190">
        <v>809.07587783455995</v>
      </c>
      <c r="H36" s="30"/>
      <c r="I36" s="30"/>
      <c r="J36" s="30"/>
      <c r="K36" s="30"/>
      <c r="L36" s="30"/>
      <c r="M36" s="30"/>
      <c r="N36" s="30"/>
      <c r="O36" s="30"/>
      <c r="P36" s="30"/>
      <c r="Q36" s="30"/>
    </row>
    <row r="37" spans="1:17" hidden="1" outlineLevel="4" x14ac:dyDescent="0.3">
      <c r="A37" s="189" t="s">
        <v>32</v>
      </c>
      <c r="B37" s="190">
        <v>119.00280760606</v>
      </c>
      <c r="C37" s="190">
        <v>234.07269763165999</v>
      </c>
      <c r="D37" s="190">
        <v>379.91330392216003</v>
      </c>
      <c r="E37" s="190">
        <v>569.59844089061005</v>
      </c>
      <c r="F37" s="190">
        <v>574.79562913317</v>
      </c>
      <c r="G37" s="190">
        <v>652.22598714139997</v>
      </c>
      <c r="H37" s="30"/>
      <c r="I37" s="30"/>
      <c r="J37" s="30"/>
      <c r="K37" s="30"/>
      <c r="L37" s="30"/>
      <c r="M37" s="30"/>
      <c r="N37" s="30"/>
      <c r="O37" s="30"/>
      <c r="P37" s="30"/>
      <c r="Q37" s="30"/>
    </row>
    <row r="38" spans="1:17" hidden="1" outlineLevel="4" x14ac:dyDescent="0.3">
      <c r="A38" s="189" t="s">
        <v>33</v>
      </c>
      <c r="B38" s="190">
        <v>1.5875877036599999</v>
      </c>
      <c r="C38" s="190">
        <v>2.8371336968200001</v>
      </c>
      <c r="D38" s="190">
        <v>4.33677963433</v>
      </c>
      <c r="E38" s="190">
        <v>4.8006512413799998</v>
      </c>
      <c r="F38" s="190">
        <v>4.4185232040900004</v>
      </c>
      <c r="G38" s="190">
        <v>4.2537939680600001</v>
      </c>
      <c r="H38" s="30"/>
      <c r="I38" s="30"/>
      <c r="J38" s="30"/>
      <c r="K38" s="30"/>
      <c r="L38" s="30"/>
      <c r="M38" s="30"/>
      <c r="N38" s="30"/>
      <c r="O38" s="30"/>
      <c r="P38" s="30"/>
      <c r="Q38" s="30"/>
    </row>
    <row r="39" spans="1:17" hidden="1" outlineLevel="3" x14ac:dyDescent="0.3">
      <c r="A39" s="191" t="s">
        <v>34</v>
      </c>
      <c r="B39" s="190">
        <f t="shared" ref="B39:G39" si="7">SUM(B$40:B$49)</f>
        <v>24.223503565430001</v>
      </c>
      <c r="C39" s="190">
        <f t="shared" si="7"/>
        <v>160.50546788984002</v>
      </c>
      <c r="D39" s="190">
        <f t="shared" si="7"/>
        <v>239.95764692871998</v>
      </c>
      <c r="E39" s="190">
        <f t="shared" si="7"/>
        <v>320.75385386105006</v>
      </c>
      <c r="F39" s="190">
        <f t="shared" si="7"/>
        <v>342.93997620361</v>
      </c>
      <c r="G39" s="190">
        <f t="shared" si="7"/>
        <v>358.82973843775005</v>
      </c>
      <c r="H39" s="30"/>
      <c r="I39" s="30"/>
      <c r="J39" s="30"/>
      <c r="K39" s="30"/>
      <c r="L39" s="30"/>
      <c r="M39" s="30"/>
      <c r="N39" s="30"/>
      <c r="O39" s="30"/>
      <c r="P39" s="30"/>
      <c r="Q39" s="30"/>
    </row>
    <row r="40" spans="1:17" hidden="1" outlineLevel="4" x14ac:dyDescent="0.3">
      <c r="A40" s="189" t="s">
        <v>35</v>
      </c>
      <c r="B40" s="190">
        <v>0.55899540264000003</v>
      </c>
      <c r="C40" s="190">
        <v>0.80847284054000002</v>
      </c>
      <c r="D40" s="190">
        <v>0.89084539944999996</v>
      </c>
      <c r="E40" s="190">
        <v>1.0035949112</v>
      </c>
      <c r="F40" s="190">
        <v>1.0879674421800001</v>
      </c>
      <c r="G40" s="190">
        <v>1.1509587542299999</v>
      </c>
      <c r="H40" s="30"/>
      <c r="I40" s="30"/>
      <c r="J40" s="30"/>
      <c r="K40" s="30"/>
      <c r="L40" s="30"/>
      <c r="M40" s="30"/>
      <c r="N40" s="30"/>
      <c r="O40" s="30"/>
      <c r="P40" s="30"/>
      <c r="Q40" s="30"/>
    </row>
    <row r="41" spans="1:17" hidden="1" outlineLevel="4" x14ac:dyDescent="0.3">
      <c r="A41" s="189" t="s">
        <v>36</v>
      </c>
      <c r="B41" s="190">
        <v>0</v>
      </c>
      <c r="C41" s="190">
        <v>7.7901999999999996</v>
      </c>
      <c r="D41" s="190">
        <v>8.4415800000000001</v>
      </c>
      <c r="E41" s="190">
        <v>8.7853200000000005</v>
      </c>
      <c r="F41" s="190">
        <v>9.9712999999999994</v>
      </c>
      <c r="G41" s="190">
        <v>10.37608</v>
      </c>
      <c r="H41" s="30"/>
      <c r="I41" s="30"/>
      <c r="J41" s="30"/>
      <c r="K41" s="30"/>
      <c r="L41" s="30"/>
      <c r="M41" s="30"/>
      <c r="N41" s="30"/>
      <c r="O41" s="30"/>
      <c r="P41" s="30"/>
      <c r="Q41" s="30"/>
    </row>
    <row r="42" spans="1:17" hidden="1" outlineLevel="4" x14ac:dyDescent="0.3">
      <c r="A42" s="189" t="s">
        <v>37</v>
      </c>
      <c r="B42" s="190">
        <v>0</v>
      </c>
      <c r="C42" s="190">
        <v>66.835792851359997</v>
      </c>
      <c r="D42" s="190">
        <v>139.85243126616001</v>
      </c>
      <c r="E42" s="190">
        <v>213.75542670784</v>
      </c>
      <c r="F42" s="190">
        <v>225.41873603241999</v>
      </c>
      <c r="G42" s="190">
        <v>234.62137383704001</v>
      </c>
      <c r="H42" s="30"/>
      <c r="I42" s="30"/>
      <c r="J42" s="30"/>
      <c r="K42" s="30"/>
      <c r="L42" s="30"/>
      <c r="M42" s="30"/>
      <c r="N42" s="30"/>
      <c r="O42" s="30"/>
      <c r="P42" s="30"/>
      <c r="Q42" s="30"/>
    </row>
    <row r="43" spans="1:17" hidden="1" outlineLevel="4" x14ac:dyDescent="0.3">
      <c r="A43" s="189" t="s">
        <v>38</v>
      </c>
      <c r="B43" s="190">
        <v>0</v>
      </c>
      <c r="C43" s="190">
        <v>7.7901999999999996</v>
      </c>
      <c r="D43" s="190">
        <v>8.4415800000000001</v>
      </c>
      <c r="E43" s="190">
        <v>8.7853200000000005</v>
      </c>
      <c r="F43" s="190">
        <v>9.9712999999999994</v>
      </c>
      <c r="G43" s="190">
        <v>10.37608</v>
      </c>
      <c r="H43" s="30"/>
      <c r="I43" s="30"/>
      <c r="J43" s="30"/>
      <c r="K43" s="30"/>
      <c r="L43" s="30"/>
      <c r="M43" s="30"/>
      <c r="N43" s="30"/>
      <c r="O43" s="30"/>
      <c r="P43" s="30"/>
      <c r="Q43" s="30"/>
    </row>
    <row r="44" spans="1:17" hidden="1" outlineLevel="4" x14ac:dyDescent="0.3">
      <c r="A44" s="189" t="s">
        <v>39</v>
      </c>
      <c r="B44" s="190">
        <v>7.8206807494600001</v>
      </c>
      <c r="C44" s="190">
        <v>21.460113920649999</v>
      </c>
      <c r="D44" s="190">
        <v>23.719138560360001</v>
      </c>
      <c r="E44" s="190">
        <v>24.695561359159999</v>
      </c>
      <c r="F44" s="190">
        <v>28.228915603210002</v>
      </c>
      <c r="G44" s="190">
        <v>29.509836574880001</v>
      </c>
      <c r="H44" s="30"/>
      <c r="I44" s="30"/>
      <c r="J44" s="30"/>
      <c r="K44" s="30"/>
      <c r="L44" s="30"/>
      <c r="M44" s="30"/>
      <c r="N44" s="30"/>
      <c r="O44" s="30"/>
      <c r="P44" s="30"/>
      <c r="Q44" s="30"/>
    </row>
    <row r="45" spans="1:17" hidden="1" outlineLevel="4" x14ac:dyDescent="0.3">
      <c r="A45" s="189" t="s">
        <v>40</v>
      </c>
      <c r="B45" s="190">
        <v>1.1414699260300001</v>
      </c>
      <c r="C45" s="190">
        <v>1.94019993968</v>
      </c>
      <c r="D45" s="190">
        <v>3.6823600697400001</v>
      </c>
      <c r="E45" s="190">
        <v>4.3628869331200004</v>
      </c>
      <c r="F45" s="190">
        <v>5.5870749771800003</v>
      </c>
      <c r="G45" s="190">
        <v>6.3015687682900001</v>
      </c>
      <c r="H45" s="30"/>
      <c r="I45" s="30"/>
      <c r="J45" s="30"/>
      <c r="K45" s="30"/>
      <c r="L45" s="30"/>
      <c r="M45" s="30"/>
      <c r="N45" s="30"/>
      <c r="O45" s="30"/>
      <c r="P45" s="30"/>
      <c r="Q45" s="30"/>
    </row>
    <row r="46" spans="1:17" hidden="1" outlineLevel="4" x14ac:dyDescent="0.3">
      <c r="A46" s="189" t="s">
        <v>41</v>
      </c>
      <c r="B46" s="190">
        <v>0</v>
      </c>
      <c r="C46" s="190">
        <v>0</v>
      </c>
      <c r="D46" s="190">
        <v>0</v>
      </c>
      <c r="E46" s="190">
        <v>4.2039</v>
      </c>
      <c r="F46" s="190">
        <v>4.2387800000000002</v>
      </c>
      <c r="G46" s="190">
        <v>4.45505</v>
      </c>
      <c r="H46" s="30"/>
      <c r="I46" s="30"/>
      <c r="J46" s="30"/>
      <c r="K46" s="30"/>
      <c r="L46" s="30"/>
      <c r="M46" s="30"/>
      <c r="N46" s="30"/>
      <c r="O46" s="30"/>
      <c r="P46" s="30"/>
      <c r="Q46" s="30"/>
    </row>
    <row r="47" spans="1:17" hidden="1" outlineLevel="4" x14ac:dyDescent="0.3">
      <c r="A47" s="189" t="s">
        <v>42</v>
      </c>
      <c r="B47" s="190">
        <v>1.2890436159999999E-2</v>
      </c>
      <c r="C47" s="190">
        <v>1.7280656490000001E-2</v>
      </c>
      <c r="D47" s="190">
        <v>1.7948754040000001E-2</v>
      </c>
      <c r="E47" s="190">
        <v>2.1545629019999998E-2</v>
      </c>
      <c r="F47" s="190">
        <v>2.1724394340000001E-2</v>
      </c>
      <c r="G47" s="190">
        <v>2.2832811089999999E-2</v>
      </c>
      <c r="H47" s="30"/>
      <c r="I47" s="30"/>
      <c r="J47" s="30"/>
      <c r="K47" s="30"/>
      <c r="L47" s="30"/>
      <c r="M47" s="30"/>
      <c r="N47" s="30"/>
      <c r="O47" s="30"/>
      <c r="P47" s="30"/>
      <c r="Q47" s="30"/>
    </row>
    <row r="48" spans="1:17" hidden="1" outlineLevel="4" x14ac:dyDescent="0.3">
      <c r="A48" s="189" t="s">
        <v>43</v>
      </c>
      <c r="B48" s="190">
        <v>1.08277249519</v>
      </c>
      <c r="C48" s="190">
        <v>17.370752550180001</v>
      </c>
      <c r="D48" s="190">
        <v>18.97010688824</v>
      </c>
      <c r="E48" s="190">
        <v>19.550736922790001</v>
      </c>
      <c r="F48" s="190">
        <v>22.164438994840001</v>
      </c>
      <c r="G48" s="190">
        <v>24.366593044529999</v>
      </c>
      <c r="H48" s="30"/>
      <c r="I48" s="30"/>
      <c r="J48" s="30"/>
      <c r="K48" s="30"/>
      <c r="L48" s="30"/>
      <c r="M48" s="30"/>
      <c r="N48" s="30"/>
      <c r="O48" s="30"/>
      <c r="P48" s="30"/>
      <c r="Q48" s="30"/>
    </row>
    <row r="49" spans="1:17" hidden="1" outlineLevel="4" x14ac:dyDescent="0.3">
      <c r="A49" s="189" t="s">
        <v>44</v>
      </c>
      <c r="B49" s="190">
        <v>13.60669455595</v>
      </c>
      <c r="C49" s="190">
        <v>36.492455130940002</v>
      </c>
      <c r="D49" s="190">
        <v>35.941655990729998</v>
      </c>
      <c r="E49" s="190">
        <v>35.589561397920001</v>
      </c>
      <c r="F49" s="190">
        <v>36.24973875944</v>
      </c>
      <c r="G49" s="190">
        <v>37.64936464769</v>
      </c>
      <c r="H49" s="30"/>
      <c r="I49" s="30"/>
      <c r="J49" s="30"/>
      <c r="K49" s="30"/>
      <c r="L49" s="30"/>
      <c r="M49" s="30"/>
      <c r="N49" s="30"/>
      <c r="O49" s="30"/>
      <c r="P49" s="30"/>
      <c r="Q49" s="30"/>
    </row>
    <row r="50" spans="1:17" hidden="1" outlineLevel="3" x14ac:dyDescent="0.3">
      <c r="A50" s="191" t="s">
        <v>45</v>
      </c>
      <c r="B50" s="190">
        <f t="shared" ref="B50:G50" si="8">SUM(B$51:B$51)</f>
        <v>16.526657320249999</v>
      </c>
      <c r="C50" s="190">
        <f t="shared" si="8"/>
        <v>22.155300602000001</v>
      </c>
      <c r="D50" s="190">
        <f t="shared" si="8"/>
        <v>23.011859616860001</v>
      </c>
      <c r="E50" s="190">
        <f t="shared" si="8"/>
        <v>25.469574498539998</v>
      </c>
      <c r="F50" s="190">
        <f t="shared" si="8"/>
        <v>25.680897022509999</v>
      </c>
      <c r="G50" s="190">
        <f t="shared" si="8"/>
        <v>26.99118149093</v>
      </c>
      <c r="H50" s="30"/>
      <c r="I50" s="30"/>
      <c r="J50" s="30"/>
      <c r="K50" s="30"/>
      <c r="L50" s="30"/>
      <c r="M50" s="30"/>
      <c r="N50" s="30"/>
      <c r="O50" s="30"/>
      <c r="P50" s="30"/>
      <c r="Q50" s="30"/>
    </row>
    <row r="51" spans="1:17" hidden="1" outlineLevel="4" x14ac:dyDescent="0.3">
      <c r="A51" s="189" t="s">
        <v>46</v>
      </c>
      <c r="B51" s="190">
        <v>16.526657320249999</v>
      </c>
      <c r="C51" s="190">
        <v>22.155300602000001</v>
      </c>
      <c r="D51" s="190">
        <v>23.011859616860001</v>
      </c>
      <c r="E51" s="190">
        <v>25.469574498539998</v>
      </c>
      <c r="F51" s="190">
        <v>25.680897022509999</v>
      </c>
      <c r="G51" s="190">
        <v>26.99118149093</v>
      </c>
      <c r="H51" s="30"/>
      <c r="I51" s="30"/>
      <c r="J51" s="30"/>
      <c r="K51" s="30"/>
      <c r="L51" s="30"/>
      <c r="M51" s="30"/>
      <c r="N51" s="30"/>
      <c r="O51" s="30"/>
      <c r="P51" s="30"/>
      <c r="Q51" s="30"/>
    </row>
    <row r="52" spans="1:17" hidden="1" outlineLevel="3" x14ac:dyDescent="0.3">
      <c r="A52" s="191" t="s">
        <v>47</v>
      </c>
      <c r="B52" s="190">
        <f t="shared" ref="B52:G52" si="9">SUM(B$53:B$58)</f>
        <v>50.739152857089998</v>
      </c>
      <c r="C52" s="190">
        <f t="shared" si="9"/>
        <v>60.379535033480003</v>
      </c>
      <c r="D52" s="190">
        <f t="shared" si="9"/>
        <v>59.488384682030002</v>
      </c>
      <c r="E52" s="190">
        <f t="shared" si="9"/>
        <v>62.159684084680002</v>
      </c>
      <c r="F52" s="190">
        <f t="shared" si="9"/>
        <v>90.724545800569999</v>
      </c>
      <c r="G52" s="190">
        <f t="shared" si="9"/>
        <v>98.772969598670002</v>
      </c>
      <c r="H52" s="30"/>
      <c r="I52" s="30"/>
      <c r="J52" s="30"/>
      <c r="K52" s="30"/>
      <c r="L52" s="30"/>
      <c r="M52" s="30"/>
      <c r="N52" s="30"/>
      <c r="O52" s="30"/>
      <c r="P52" s="30"/>
      <c r="Q52" s="30"/>
    </row>
    <row r="53" spans="1:17" hidden="1" outlineLevel="4" x14ac:dyDescent="0.3">
      <c r="A53" s="189" t="s">
        <v>48</v>
      </c>
      <c r="B53" s="190">
        <v>20.099689999999999</v>
      </c>
      <c r="C53" s="190">
        <v>25.318149999999999</v>
      </c>
      <c r="D53" s="190">
        <v>27.435134999999999</v>
      </c>
      <c r="E53" s="190">
        <v>28.552289999999999</v>
      </c>
      <c r="F53" s="190">
        <v>32.406725000000002</v>
      </c>
      <c r="G53" s="190">
        <v>33.722259999999999</v>
      </c>
      <c r="H53" s="30"/>
      <c r="I53" s="30"/>
      <c r="J53" s="30"/>
      <c r="K53" s="30"/>
      <c r="L53" s="30"/>
      <c r="M53" s="30"/>
      <c r="N53" s="30"/>
      <c r="O53" s="30"/>
      <c r="P53" s="30"/>
      <c r="Q53" s="30"/>
    </row>
    <row r="54" spans="1:17" hidden="1" outlineLevel="4" x14ac:dyDescent="0.3">
      <c r="A54" s="189" t="s">
        <v>49</v>
      </c>
      <c r="B54" s="190">
        <v>1.5810478E-3</v>
      </c>
      <c r="C54" s="190">
        <v>1.99153347E-3</v>
      </c>
      <c r="D54" s="190">
        <v>2.15805616E-3</v>
      </c>
      <c r="E54" s="190">
        <v>2.2459319199999998E-3</v>
      </c>
      <c r="F54" s="190">
        <v>2.5491229600000001E-3</v>
      </c>
      <c r="G54" s="190">
        <v>2.6526033499999998E-3</v>
      </c>
      <c r="H54" s="30"/>
      <c r="I54" s="30"/>
      <c r="J54" s="30"/>
      <c r="K54" s="30"/>
      <c r="L54" s="30"/>
      <c r="M54" s="30"/>
      <c r="N54" s="30"/>
      <c r="O54" s="30"/>
      <c r="P54" s="30"/>
      <c r="Q54" s="30"/>
    </row>
    <row r="55" spans="1:17" hidden="1" outlineLevel="4" x14ac:dyDescent="0.3">
      <c r="A55" s="189" t="s">
        <v>50</v>
      </c>
      <c r="B55" s="190">
        <v>0</v>
      </c>
      <c r="C55" s="190">
        <v>0</v>
      </c>
      <c r="D55" s="190">
        <v>0.16403021542999999</v>
      </c>
      <c r="E55" s="190">
        <v>0.28202475074</v>
      </c>
      <c r="F55" s="190">
        <v>27.161416202040002</v>
      </c>
      <c r="G55" s="190">
        <v>36.750256347190003</v>
      </c>
      <c r="H55" s="30"/>
      <c r="I55" s="30"/>
      <c r="J55" s="30"/>
      <c r="K55" s="30"/>
      <c r="L55" s="30"/>
      <c r="M55" s="30"/>
      <c r="N55" s="30"/>
      <c r="O55" s="30"/>
      <c r="P55" s="30"/>
      <c r="Q55" s="30"/>
    </row>
    <row r="56" spans="1:17" hidden="1" outlineLevel="4" x14ac:dyDescent="0.3">
      <c r="A56" s="189" t="s">
        <v>51</v>
      </c>
      <c r="B56" s="190">
        <v>8.11366189644</v>
      </c>
      <c r="C56" s="190">
        <v>11.098013129230001</v>
      </c>
      <c r="D56" s="190">
        <v>10.288715116660001</v>
      </c>
      <c r="E56" s="190">
        <v>8.1087173963799994</v>
      </c>
      <c r="F56" s="190">
        <v>7.2839387001600002</v>
      </c>
      <c r="G56" s="190">
        <v>6.1800875790200003</v>
      </c>
      <c r="H56" s="30"/>
      <c r="I56" s="30"/>
      <c r="J56" s="30"/>
      <c r="K56" s="30"/>
      <c r="L56" s="30"/>
      <c r="M56" s="30"/>
      <c r="N56" s="30"/>
      <c r="O56" s="30"/>
      <c r="P56" s="30"/>
      <c r="Q56" s="30"/>
    </row>
    <row r="57" spans="1:17" hidden="1" outlineLevel="4" x14ac:dyDescent="0.3">
      <c r="A57" s="189" t="s">
        <v>52</v>
      </c>
      <c r="B57" s="190">
        <v>22.52421991285</v>
      </c>
      <c r="C57" s="190">
        <v>23.961380370779999</v>
      </c>
      <c r="D57" s="190">
        <v>21.598346293780001</v>
      </c>
      <c r="E57" s="190">
        <v>18.193875010589998</v>
      </c>
      <c r="F57" s="190">
        <v>15.787700961240001</v>
      </c>
      <c r="G57" s="190">
        <v>12.64912359577</v>
      </c>
      <c r="H57" s="30"/>
      <c r="I57" s="30"/>
      <c r="J57" s="30"/>
      <c r="K57" s="30"/>
      <c r="L57" s="30"/>
      <c r="M57" s="30"/>
      <c r="N57" s="30"/>
      <c r="O57" s="30"/>
      <c r="P57" s="30"/>
      <c r="Q57" s="30"/>
    </row>
    <row r="58" spans="1:17" hidden="1" outlineLevel="4" x14ac:dyDescent="0.3">
      <c r="A58" s="189" t="s">
        <v>53</v>
      </c>
      <c r="B58" s="190">
        <v>0</v>
      </c>
      <c r="C58" s="190">
        <v>0</v>
      </c>
      <c r="D58" s="190">
        <v>0</v>
      </c>
      <c r="E58" s="190">
        <v>7.0205309950499997</v>
      </c>
      <c r="F58" s="190">
        <v>8.0822158141700005</v>
      </c>
      <c r="G58" s="190">
        <v>9.4685894733399998</v>
      </c>
      <c r="H58" s="30"/>
      <c r="I58" s="30"/>
      <c r="J58" s="30"/>
      <c r="K58" s="30"/>
      <c r="L58" s="30"/>
      <c r="M58" s="30"/>
      <c r="N58" s="30"/>
      <c r="O58" s="30"/>
      <c r="P58" s="30"/>
      <c r="Q58" s="30"/>
    </row>
    <row r="59" spans="1:17" hidden="1" outlineLevel="3" x14ac:dyDescent="0.3">
      <c r="A59" s="191" t="s">
        <v>54</v>
      </c>
      <c r="B59" s="190">
        <f t="shared" ref="B59:G59" si="10">SUM(B$60:B$67)</f>
        <v>543.16986546599992</v>
      </c>
      <c r="C59" s="190">
        <f t="shared" si="10"/>
        <v>718.83682421800006</v>
      </c>
      <c r="D59" s="190">
        <f t="shared" si="10"/>
        <v>750.56792791199996</v>
      </c>
      <c r="E59" s="190">
        <f t="shared" si="10"/>
        <v>639.79848096628996</v>
      </c>
      <c r="F59" s="190">
        <f t="shared" si="10"/>
        <v>794.79837836156003</v>
      </c>
      <c r="G59" s="190">
        <f t="shared" si="10"/>
        <v>835.35038749821001</v>
      </c>
      <c r="H59" s="30"/>
      <c r="I59" s="30"/>
      <c r="J59" s="30"/>
      <c r="K59" s="30"/>
      <c r="L59" s="30"/>
      <c r="M59" s="30"/>
      <c r="N59" s="30"/>
      <c r="O59" s="30"/>
      <c r="P59" s="30"/>
      <c r="Q59" s="30"/>
    </row>
    <row r="60" spans="1:17" hidden="1" outlineLevel="4" x14ac:dyDescent="0.3">
      <c r="A60" s="189" t="s">
        <v>55</v>
      </c>
      <c r="B60" s="190">
        <v>208.99547546599999</v>
      </c>
      <c r="C60" s="190">
        <v>276.48165421800002</v>
      </c>
      <c r="D60" s="190">
        <v>287.17087291199999</v>
      </c>
      <c r="E60" s="190">
        <v>0</v>
      </c>
      <c r="F60" s="190">
        <v>0</v>
      </c>
      <c r="G60" s="190">
        <v>0</v>
      </c>
      <c r="H60" s="30"/>
      <c r="I60" s="30"/>
      <c r="J60" s="30"/>
      <c r="K60" s="30"/>
      <c r="L60" s="30"/>
      <c r="M60" s="30"/>
      <c r="N60" s="30"/>
      <c r="O60" s="30"/>
      <c r="P60" s="30"/>
      <c r="Q60" s="30"/>
    </row>
    <row r="61" spans="1:17" hidden="1" outlineLevel="4" x14ac:dyDescent="0.3">
      <c r="A61" s="189" t="s">
        <v>56</v>
      </c>
      <c r="B61" s="190">
        <v>81.834599999999995</v>
      </c>
      <c r="C61" s="190">
        <v>109.7058</v>
      </c>
      <c r="D61" s="190">
        <v>113.9472</v>
      </c>
      <c r="E61" s="190">
        <v>0</v>
      </c>
      <c r="F61" s="190">
        <v>0</v>
      </c>
      <c r="G61" s="190">
        <v>0</v>
      </c>
      <c r="H61" s="30"/>
      <c r="I61" s="30"/>
      <c r="J61" s="30"/>
      <c r="K61" s="30"/>
      <c r="L61" s="30"/>
      <c r="M61" s="30"/>
      <c r="N61" s="30"/>
      <c r="O61" s="30"/>
      <c r="P61" s="30"/>
      <c r="Q61" s="30"/>
    </row>
    <row r="62" spans="1:17" hidden="1" outlineLevel="4" x14ac:dyDescent="0.3">
      <c r="A62" s="189" t="s">
        <v>57</v>
      </c>
      <c r="B62" s="190">
        <v>64.103769999999997</v>
      </c>
      <c r="C62" s="190">
        <v>85.936210000000003</v>
      </c>
      <c r="D62" s="190">
        <v>89.25864</v>
      </c>
      <c r="E62" s="190">
        <v>0</v>
      </c>
      <c r="F62" s="190">
        <v>0</v>
      </c>
      <c r="G62" s="190">
        <v>0</v>
      </c>
      <c r="H62" s="30"/>
      <c r="I62" s="30"/>
      <c r="J62" s="30"/>
      <c r="K62" s="30"/>
      <c r="L62" s="30"/>
      <c r="M62" s="30"/>
      <c r="N62" s="30"/>
      <c r="O62" s="30"/>
      <c r="P62" s="30"/>
      <c r="Q62" s="30"/>
    </row>
    <row r="63" spans="1:17" hidden="1" outlineLevel="4" x14ac:dyDescent="0.3">
      <c r="A63" s="189" t="s">
        <v>58</v>
      </c>
      <c r="B63" s="190">
        <v>30.922599999999999</v>
      </c>
      <c r="C63" s="190">
        <v>38.951000000000001</v>
      </c>
      <c r="D63" s="190">
        <v>42.207900000000002</v>
      </c>
      <c r="E63" s="190">
        <v>0</v>
      </c>
      <c r="F63" s="190">
        <v>0</v>
      </c>
      <c r="G63" s="190">
        <v>0</v>
      </c>
      <c r="H63" s="30"/>
      <c r="I63" s="30"/>
      <c r="J63" s="30"/>
      <c r="K63" s="30"/>
      <c r="L63" s="30"/>
      <c r="M63" s="30"/>
      <c r="N63" s="30"/>
      <c r="O63" s="30"/>
      <c r="P63" s="30"/>
      <c r="Q63" s="30"/>
    </row>
    <row r="64" spans="1:17" ht="24.75" hidden="1" customHeight="1" outlineLevel="4" x14ac:dyDescent="0.3">
      <c r="A64" s="189" t="s">
        <v>59</v>
      </c>
      <c r="B64" s="190">
        <v>109.57657</v>
      </c>
      <c r="C64" s="190">
        <v>143.76711</v>
      </c>
      <c r="D64" s="190">
        <v>151.514115</v>
      </c>
      <c r="E64" s="190">
        <v>0</v>
      </c>
      <c r="F64" s="190">
        <v>0</v>
      </c>
      <c r="G64" s="190">
        <v>0</v>
      </c>
      <c r="H64" s="30"/>
      <c r="I64" s="30"/>
      <c r="J64" s="30"/>
      <c r="K64" s="30"/>
      <c r="L64" s="30"/>
      <c r="M64" s="30"/>
      <c r="N64" s="30"/>
      <c r="O64" s="30"/>
      <c r="P64" s="30"/>
      <c r="Q64" s="30"/>
    </row>
    <row r="65" spans="1:17" hidden="1" outlineLevel="4" x14ac:dyDescent="0.3">
      <c r="A65" s="189" t="s">
        <v>60</v>
      </c>
      <c r="B65" s="190">
        <v>47.736849999999997</v>
      </c>
      <c r="C65" s="190">
        <v>63.995049999999999</v>
      </c>
      <c r="D65" s="190">
        <v>66.469200000000001</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639.79848096628996</v>
      </c>
      <c r="F66" s="190">
        <v>646.54004031045997</v>
      </c>
      <c r="G66" s="190">
        <v>679.52764865954998</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148.2583380511</v>
      </c>
      <c r="G67" s="190">
        <v>155.82273883866</v>
      </c>
      <c r="H67" s="30"/>
      <c r="I67" s="30"/>
      <c r="J67" s="30"/>
      <c r="K67" s="30"/>
      <c r="L67" s="30"/>
      <c r="M67" s="30"/>
      <c r="N67" s="30"/>
      <c r="O67" s="30"/>
      <c r="P67" s="30"/>
      <c r="Q67" s="30"/>
    </row>
    <row r="68" spans="1:17" hidden="1" outlineLevel="3" x14ac:dyDescent="0.3">
      <c r="A68" s="191" t="s">
        <v>63</v>
      </c>
      <c r="B68" s="190">
        <f t="shared" ref="B68:G68" si="11">SUM(B$69:B$69)</f>
        <v>81.834599999999995</v>
      </c>
      <c r="C68" s="190">
        <f t="shared" si="11"/>
        <v>109.7058</v>
      </c>
      <c r="D68" s="190">
        <f t="shared" si="11"/>
        <v>113.9472</v>
      </c>
      <c r="E68" s="190">
        <f t="shared" si="11"/>
        <v>126.117</v>
      </c>
      <c r="F68" s="190">
        <f t="shared" si="11"/>
        <v>127.1634</v>
      </c>
      <c r="G68" s="190">
        <f t="shared" si="11"/>
        <v>133.6515</v>
      </c>
      <c r="H68" s="30"/>
      <c r="I68" s="30"/>
      <c r="J68" s="30"/>
      <c r="K68" s="30"/>
      <c r="L68" s="30"/>
      <c r="M68" s="30"/>
      <c r="N68" s="30"/>
      <c r="O68" s="30"/>
      <c r="P68" s="30"/>
      <c r="Q68" s="30"/>
    </row>
    <row r="69" spans="1:17" hidden="1" outlineLevel="4" x14ac:dyDescent="0.3">
      <c r="A69" s="189" t="s">
        <v>64</v>
      </c>
      <c r="B69" s="190">
        <v>81.834599999999995</v>
      </c>
      <c r="C69" s="190">
        <v>109.7058</v>
      </c>
      <c r="D69" s="190">
        <v>113.9472</v>
      </c>
      <c r="E69" s="190">
        <v>126.117</v>
      </c>
      <c r="F69" s="190">
        <v>127.1634</v>
      </c>
      <c r="G69" s="190">
        <v>133.6515</v>
      </c>
      <c r="H69" s="30"/>
      <c r="I69" s="30"/>
      <c r="J69" s="30"/>
      <c r="K69" s="30"/>
      <c r="L69" s="30"/>
      <c r="M69" s="30"/>
      <c r="N69" s="30"/>
      <c r="O69" s="30"/>
      <c r="P69" s="30"/>
      <c r="Q69" s="30"/>
    </row>
    <row r="70" spans="1:17" hidden="1" outlineLevel="3" x14ac:dyDescent="0.3">
      <c r="A70" s="191" t="s">
        <v>65</v>
      </c>
      <c r="B70" s="190">
        <f t="shared" ref="B70:G70" si="12">SUM(B$71:B$71)</f>
        <v>120.49942593211</v>
      </c>
      <c r="C70" s="190">
        <f t="shared" si="12"/>
        <v>153.60404350837999</v>
      </c>
      <c r="D70" s="190">
        <f t="shared" si="12"/>
        <v>160.84042546983</v>
      </c>
      <c r="E70" s="190">
        <f t="shared" si="12"/>
        <v>173.03822402111001</v>
      </c>
      <c r="F70" s="190">
        <f t="shared" si="12"/>
        <v>183.21922651337999</v>
      </c>
      <c r="G70" s="190">
        <f t="shared" si="12"/>
        <v>192.47935137364999</v>
      </c>
      <c r="H70" s="30"/>
      <c r="I70" s="30"/>
      <c r="J70" s="30"/>
      <c r="K70" s="30"/>
      <c r="L70" s="30"/>
      <c r="M70" s="30"/>
      <c r="N70" s="30"/>
      <c r="O70" s="30"/>
      <c r="P70" s="30"/>
      <c r="Q70" s="30"/>
    </row>
    <row r="71" spans="1:17" hidden="1" outlineLevel="4" x14ac:dyDescent="0.3">
      <c r="A71" s="189" t="s">
        <v>32</v>
      </c>
      <c r="B71" s="190">
        <v>120.49942593211</v>
      </c>
      <c r="C71" s="190">
        <v>153.60404350837999</v>
      </c>
      <c r="D71" s="190">
        <v>160.84042546983</v>
      </c>
      <c r="E71" s="190">
        <v>173.03822402111001</v>
      </c>
      <c r="F71" s="190">
        <v>183.21922651337999</v>
      </c>
      <c r="G71" s="190">
        <v>192.47935137364999</v>
      </c>
      <c r="H71" s="30"/>
      <c r="I71" s="30"/>
      <c r="J71" s="30"/>
      <c r="K71" s="30"/>
      <c r="L71" s="30"/>
      <c r="M71" s="30"/>
      <c r="N71" s="30"/>
      <c r="O71" s="30"/>
      <c r="P71" s="30"/>
      <c r="Q71" s="30"/>
    </row>
    <row r="72" spans="1:17" ht="14.4" outlineLevel="1" x14ac:dyDescent="0.3">
      <c r="A72" s="202" t="s">
        <v>2</v>
      </c>
      <c r="B72" s="203">
        <f t="shared" ref="B72:G72" si="13">B$73+B$91</f>
        <v>309.33986955858001</v>
      </c>
      <c r="C72" s="203">
        <f t="shared" si="13"/>
        <v>360.43420638318003</v>
      </c>
      <c r="D72" s="203">
        <f t="shared" si="13"/>
        <v>331.5447170827199</v>
      </c>
      <c r="E72" s="203">
        <f t="shared" si="13"/>
        <v>288.51110931760996</v>
      </c>
      <c r="F72" s="203">
        <f t="shared" si="13"/>
        <v>276.68300234511992</v>
      </c>
      <c r="G72" s="203">
        <f t="shared" si="13"/>
        <v>257.81238855825006</v>
      </c>
      <c r="H72" s="30"/>
      <c r="I72" s="30"/>
      <c r="J72" s="30"/>
      <c r="K72" s="30"/>
      <c r="L72" s="30"/>
      <c r="M72" s="30"/>
      <c r="N72" s="30"/>
      <c r="O72" s="30"/>
      <c r="P72" s="30"/>
      <c r="Q72" s="30"/>
    </row>
    <row r="73" spans="1:17" ht="14.4" outlineLevel="2" collapsed="1" x14ac:dyDescent="0.3">
      <c r="A73" s="200" t="s">
        <v>3</v>
      </c>
      <c r="B73" s="201">
        <f t="shared" ref="B73:G73" si="14">B$74+B$81+B$89</f>
        <v>49.038826509239996</v>
      </c>
      <c r="C73" s="201">
        <f t="shared" si="14"/>
        <v>72.197931313059996</v>
      </c>
      <c r="D73" s="201">
        <f t="shared" si="14"/>
        <v>68.798719139519989</v>
      </c>
      <c r="E73" s="201">
        <f t="shared" si="14"/>
        <v>69.357463909260005</v>
      </c>
      <c r="F73" s="201">
        <f t="shared" si="14"/>
        <v>64.294409157979999</v>
      </c>
      <c r="G73" s="201">
        <f t="shared" si="14"/>
        <v>61.813395261350003</v>
      </c>
      <c r="H73" s="30"/>
      <c r="I73" s="30"/>
      <c r="J73" s="30"/>
      <c r="K73" s="30"/>
      <c r="L73" s="30"/>
      <c r="M73" s="30"/>
      <c r="N73" s="30"/>
      <c r="O73" s="30"/>
      <c r="P73" s="30"/>
      <c r="Q73" s="30"/>
    </row>
    <row r="74" spans="1:17" hidden="1" outlineLevel="3" x14ac:dyDescent="0.3">
      <c r="A74" s="191" t="s">
        <v>4</v>
      </c>
      <c r="B74" s="190">
        <f t="shared" ref="B74:G74" si="15">SUM(B$75:B$80)</f>
        <v>16.928416600000002</v>
      </c>
      <c r="C74" s="190">
        <f t="shared" si="15"/>
        <v>11.847416600000001</v>
      </c>
      <c r="D74" s="190">
        <f t="shared" si="15"/>
        <v>7.9750116000000002</v>
      </c>
      <c r="E74" s="190">
        <f t="shared" si="15"/>
        <v>4.4750116000000002</v>
      </c>
      <c r="F74" s="190">
        <f t="shared" si="15"/>
        <v>2.4750116000000002</v>
      </c>
      <c r="G74" s="190">
        <f t="shared" si="15"/>
        <v>2.4750116000000002</v>
      </c>
      <c r="H74" s="30"/>
      <c r="I74" s="30"/>
      <c r="J74" s="30"/>
      <c r="K74" s="30"/>
      <c r="L74" s="30"/>
      <c r="M74" s="30"/>
      <c r="N74" s="30"/>
      <c r="O74" s="30"/>
      <c r="P74" s="30"/>
      <c r="Q74" s="30"/>
    </row>
    <row r="75" spans="1:17" hidden="1" outlineLevel="4" x14ac:dyDescent="0.3">
      <c r="A75" s="189" t="s">
        <v>66</v>
      </c>
      <c r="B75" s="190">
        <v>1.1600000000000001E-5</v>
      </c>
      <c r="C75" s="190">
        <v>1.1600000000000001E-5</v>
      </c>
      <c r="D75" s="190">
        <v>1.1600000000000001E-5</v>
      </c>
      <c r="E75" s="190">
        <v>1.1600000000000001E-5</v>
      </c>
      <c r="F75" s="190">
        <v>1.1600000000000001E-5</v>
      </c>
      <c r="G75" s="190">
        <v>1.1600000000000001E-5</v>
      </c>
      <c r="H75" s="30"/>
      <c r="I75" s="30"/>
      <c r="J75" s="30"/>
      <c r="K75" s="30"/>
      <c r="L75" s="30"/>
      <c r="M75" s="30"/>
      <c r="N75" s="30"/>
      <c r="O75" s="30"/>
      <c r="P75" s="30"/>
      <c r="Q75" s="30"/>
    </row>
    <row r="76" spans="1:17" hidden="1" outlineLevel="4" x14ac:dyDescent="0.3">
      <c r="A76" s="189" t="s">
        <v>67</v>
      </c>
      <c r="B76" s="190">
        <v>3.4750000000000001</v>
      </c>
      <c r="C76" s="190">
        <v>3.4750000000000001</v>
      </c>
      <c r="D76" s="190">
        <v>2.4750000000000001</v>
      </c>
      <c r="E76" s="190">
        <v>2.4750000000000001</v>
      </c>
      <c r="F76" s="190">
        <v>2.4750000000000001</v>
      </c>
      <c r="G76" s="190">
        <v>2.4750000000000001</v>
      </c>
      <c r="H76" s="30"/>
      <c r="I76" s="30"/>
      <c r="J76" s="30"/>
      <c r="K76" s="30"/>
      <c r="L76" s="30"/>
      <c r="M76" s="30"/>
      <c r="N76" s="30"/>
      <c r="O76" s="30"/>
      <c r="P76" s="30"/>
      <c r="Q76" s="30"/>
    </row>
    <row r="77" spans="1:17" hidden="1" outlineLevel="4" x14ac:dyDescent="0.3">
      <c r="A77" s="189" t="s">
        <v>68</v>
      </c>
      <c r="B77" s="190">
        <v>5.0810000000000004</v>
      </c>
      <c r="C77" s="190">
        <v>0</v>
      </c>
      <c r="D77" s="190">
        <v>0</v>
      </c>
      <c r="E77" s="190">
        <v>0</v>
      </c>
      <c r="F77" s="190">
        <v>0</v>
      </c>
      <c r="G77" s="190">
        <v>0</v>
      </c>
      <c r="H77" s="30"/>
      <c r="I77" s="30"/>
      <c r="J77" s="30"/>
      <c r="K77" s="30"/>
      <c r="L77" s="30"/>
      <c r="M77" s="30"/>
      <c r="N77" s="30"/>
      <c r="O77" s="30"/>
      <c r="P77" s="30"/>
      <c r="Q77" s="30"/>
    </row>
    <row r="78" spans="1:17" hidden="1" outlineLevel="4" x14ac:dyDescent="0.3">
      <c r="A78" s="189" t="s">
        <v>69</v>
      </c>
      <c r="B78" s="190">
        <v>2.8724050000000001</v>
      </c>
      <c r="C78" s="190">
        <v>2.8724050000000001</v>
      </c>
      <c r="D78" s="190">
        <v>0</v>
      </c>
      <c r="E78" s="190">
        <v>0</v>
      </c>
      <c r="F78" s="190">
        <v>0</v>
      </c>
      <c r="G78" s="190">
        <v>0</v>
      </c>
      <c r="H78" s="30"/>
      <c r="I78" s="30"/>
      <c r="J78" s="30"/>
      <c r="K78" s="30"/>
      <c r="L78" s="30"/>
      <c r="M78" s="30"/>
      <c r="N78" s="30"/>
      <c r="O78" s="30"/>
      <c r="P78" s="30"/>
      <c r="Q78" s="30"/>
    </row>
    <row r="79" spans="1:17" hidden="1" outlineLevel="4" x14ac:dyDescent="0.3">
      <c r="A79" s="189" t="s">
        <v>70</v>
      </c>
      <c r="B79" s="190">
        <v>3.5</v>
      </c>
      <c r="C79" s="190">
        <v>3.5</v>
      </c>
      <c r="D79" s="190">
        <v>3.5</v>
      </c>
      <c r="E79" s="190">
        <v>0</v>
      </c>
      <c r="F79" s="190">
        <v>0</v>
      </c>
      <c r="G79" s="190">
        <v>0</v>
      </c>
      <c r="H79" s="30"/>
      <c r="I79" s="30"/>
      <c r="J79" s="30"/>
      <c r="K79" s="30"/>
      <c r="L79" s="30"/>
      <c r="M79" s="30"/>
      <c r="N79" s="30"/>
      <c r="O79" s="30"/>
      <c r="P79" s="30"/>
      <c r="Q79" s="30"/>
    </row>
    <row r="80" spans="1:17" hidden="1" outlineLevel="4" x14ac:dyDescent="0.3">
      <c r="A80" s="189" t="s">
        <v>71</v>
      </c>
      <c r="B80" s="190">
        <v>2</v>
      </c>
      <c r="C80" s="190">
        <v>2</v>
      </c>
      <c r="D80" s="190">
        <v>2</v>
      </c>
      <c r="E80" s="190">
        <v>2</v>
      </c>
      <c r="F80" s="190">
        <v>0</v>
      </c>
      <c r="G80" s="190">
        <v>0</v>
      </c>
      <c r="H80" s="30"/>
      <c r="I80" s="30"/>
      <c r="J80" s="30"/>
      <c r="K80" s="30"/>
      <c r="L80" s="30"/>
      <c r="M80" s="30"/>
      <c r="N80" s="30"/>
      <c r="O80" s="30"/>
      <c r="P80" s="30"/>
      <c r="Q80" s="30"/>
    </row>
    <row r="81" spans="1:17" hidden="1" outlineLevel="3" x14ac:dyDescent="0.3">
      <c r="A81" s="191" t="s">
        <v>20</v>
      </c>
      <c r="B81" s="190">
        <f t="shared" ref="B81:G81" si="16">SUM(B$82:B$88)</f>
        <v>32.109455259240001</v>
      </c>
      <c r="C81" s="190">
        <f t="shared" si="16"/>
        <v>60.349560063059997</v>
      </c>
      <c r="D81" s="190">
        <f t="shared" si="16"/>
        <v>60.822752889519997</v>
      </c>
      <c r="E81" s="190">
        <f t="shared" si="16"/>
        <v>64.881497659260006</v>
      </c>
      <c r="F81" s="190">
        <f t="shared" si="16"/>
        <v>61.81844290798</v>
      </c>
      <c r="G81" s="190">
        <f t="shared" si="16"/>
        <v>59.337429011350004</v>
      </c>
      <c r="H81" s="30"/>
      <c r="I81" s="30"/>
      <c r="J81" s="30"/>
      <c r="K81" s="30"/>
      <c r="L81" s="30"/>
      <c r="M81" s="30"/>
      <c r="N81" s="30"/>
      <c r="O81" s="30"/>
      <c r="P81" s="30"/>
      <c r="Q81" s="30"/>
    </row>
    <row r="82" spans="1:17" hidden="1" outlineLevel="4" x14ac:dyDescent="0.3">
      <c r="A82" s="189" t="s">
        <v>72</v>
      </c>
      <c r="B82" s="190">
        <v>4.3504301856599996</v>
      </c>
      <c r="C82" s="190">
        <v>4.2835835157500002</v>
      </c>
      <c r="D82" s="190">
        <v>3.58431738666</v>
      </c>
      <c r="E82" s="190">
        <v>2.6414929643299998</v>
      </c>
      <c r="F82" s="190">
        <v>1.5222507644000001</v>
      </c>
      <c r="G82" s="190">
        <v>1.3816127654599999</v>
      </c>
      <c r="H82" s="30"/>
      <c r="I82" s="30"/>
      <c r="J82" s="30"/>
      <c r="K82" s="30"/>
      <c r="L82" s="30"/>
      <c r="M82" s="30"/>
      <c r="N82" s="30"/>
      <c r="O82" s="30"/>
      <c r="P82" s="30"/>
      <c r="Q82" s="30"/>
    </row>
    <row r="83" spans="1:17" hidden="1" outlineLevel="4" x14ac:dyDescent="0.3">
      <c r="A83" s="189" t="s">
        <v>73</v>
      </c>
      <c r="B83" s="190">
        <v>0.3546166</v>
      </c>
      <c r="C83" s="190">
        <v>0.47539179999999998</v>
      </c>
      <c r="D83" s="190">
        <v>0.43890773350000001</v>
      </c>
      <c r="E83" s="190">
        <v>0.30361500074999997</v>
      </c>
      <c r="F83" s="190">
        <v>0.12245364575999999</v>
      </c>
      <c r="G83" s="190">
        <v>0</v>
      </c>
      <c r="H83" s="30"/>
      <c r="I83" s="30"/>
      <c r="J83" s="30"/>
      <c r="K83" s="30"/>
      <c r="L83" s="30"/>
      <c r="M83" s="30"/>
      <c r="N83" s="30"/>
      <c r="O83" s="30"/>
      <c r="P83" s="30"/>
      <c r="Q83" s="30"/>
    </row>
    <row r="84" spans="1:17" hidden="1" outlineLevel="4" x14ac:dyDescent="0.3">
      <c r="A84" s="189" t="s">
        <v>74</v>
      </c>
      <c r="B84" s="190">
        <v>10.60962944519</v>
      </c>
      <c r="C84" s="190">
        <v>12.3806687687</v>
      </c>
      <c r="D84" s="190">
        <v>11.39334056433</v>
      </c>
      <c r="E84" s="190">
        <v>14.99023391273</v>
      </c>
      <c r="F84" s="190">
        <v>10.22976537528</v>
      </c>
      <c r="G84" s="190">
        <v>7.7134575091700004</v>
      </c>
      <c r="H84" s="30"/>
      <c r="I84" s="30"/>
      <c r="J84" s="30"/>
      <c r="K84" s="30"/>
      <c r="L84" s="30"/>
      <c r="M84" s="30"/>
      <c r="N84" s="30"/>
      <c r="O84" s="30"/>
      <c r="P84" s="30"/>
      <c r="Q84" s="30"/>
    </row>
    <row r="85" spans="1:17" hidden="1" outlineLevel="4" x14ac:dyDescent="0.3">
      <c r="A85" s="189" t="s">
        <v>75</v>
      </c>
      <c r="B85" s="190">
        <v>12.514342159670001</v>
      </c>
      <c r="C85" s="190">
        <v>13.93794200916</v>
      </c>
      <c r="D85" s="190">
        <v>13.171333369219999</v>
      </c>
      <c r="E85" s="190">
        <v>13.25976210098</v>
      </c>
      <c r="F85" s="190">
        <v>14.832616250719999</v>
      </c>
      <c r="G85" s="190">
        <v>13.56501437673</v>
      </c>
      <c r="H85" s="30"/>
      <c r="I85" s="30"/>
      <c r="J85" s="30"/>
      <c r="K85" s="30"/>
      <c r="L85" s="30"/>
      <c r="M85" s="30"/>
      <c r="N85" s="30"/>
      <c r="O85" s="30"/>
      <c r="P85" s="30"/>
      <c r="Q85" s="30"/>
    </row>
    <row r="86" spans="1:17" hidden="1" outlineLevel="4" x14ac:dyDescent="0.3">
      <c r="A86" s="189" t="s">
        <v>76</v>
      </c>
      <c r="B86" s="190">
        <v>0.27278200000000002</v>
      </c>
      <c r="C86" s="190">
        <v>0.36568600000000001</v>
      </c>
      <c r="D86" s="190">
        <v>0.33762133300000002</v>
      </c>
      <c r="E86" s="190">
        <v>0.23354999851</v>
      </c>
      <c r="F86" s="190">
        <v>9.4195108469999997E-2</v>
      </c>
      <c r="G86" s="190">
        <v>0</v>
      </c>
      <c r="H86" s="30"/>
      <c r="I86" s="30"/>
      <c r="J86" s="30"/>
      <c r="K86" s="30"/>
      <c r="L86" s="30"/>
      <c r="M86" s="30"/>
      <c r="N86" s="30"/>
      <c r="O86" s="30"/>
      <c r="P86" s="30"/>
      <c r="Q86" s="30"/>
    </row>
    <row r="87" spans="1:17" hidden="1" outlineLevel="4" x14ac:dyDescent="0.3">
      <c r="A87" s="189" t="s">
        <v>77</v>
      </c>
      <c r="B87" s="190">
        <v>0.38189479999999998</v>
      </c>
      <c r="C87" s="190">
        <v>0.51196039999999998</v>
      </c>
      <c r="D87" s="190">
        <v>0.47266986649999998</v>
      </c>
      <c r="E87" s="190">
        <v>0.32696999924999998</v>
      </c>
      <c r="F87" s="190">
        <v>0.13187315424000001</v>
      </c>
      <c r="G87" s="190">
        <v>0</v>
      </c>
      <c r="H87" s="30"/>
      <c r="I87" s="30"/>
      <c r="J87" s="30"/>
      <c r="K87" s="30"/>
      <c r="L87" s="30"/>
      <c r="M87" s="30"/>
      <c r="N87" s="30"/>
      <c r="O87" s="30"/>
      <c r="P87" s="30"/>
      <c r="Q87" s="30"/>
    </row>
    <row r="88" spans="1:17" hidden="1" outlineLevel="4" x14ac:dyDescent="0.3">
      <c r="A88" s="189" t="s">
        <v>78</v>
      </c>
      <c r="B88" s="190">
        <v>3.62576006872</v>
      </c>
      <c r="C88" s="190">
        <v>28.394327569449999</v>
      </c>
      <c r="D88" s="190">
        <v>31.42456263631</v>
      </c>
      <c r="E88" s="190">
        <v>33.125873682710001</v>
      </c>
      <c r="F88" s="190">
        <v>34.885288609109999</v>
      </c>
      <c r="G88" s="190">
        <v>36.677344359990002</v>
      </c>
      <c r="H88" s="30"/>
      <c r="I88" s="30"/>
      <c r="J88" s="30"/>
      <c r="K88" s="30"/>
      <c r="L88" s="30"/>
      <c r="M88" s="30"/>
      <c r="N88" s="30"/>
      <c r="O88" s="30"/>
      <c r="P88" s="30"/>
      <c r="Q88" s="30"/>
    </row>
    <row r="89" spans="1:17" hidden="1" outlineLevel="3" x14ac:dyDescent="0.3">
      <c r="A89" s="191" t="s">
        <v>79</v>
      </c>
      <c r="B89" s="190">
        <f t="shared" ref="B89:G89" si="17">SUM(B$90:B$90)</f>
        <v>9.5465000000000003E-4</v>
      </c>
      <c r="C89" s="190">
        <f t="shared" si="17"/>
        <v>9.5465000000000003E-4</v>
      </c>
      <c r="D89" s="190">
        <f t="shared" si="17"/>
        <v>9.5465000000000003E-4</v>
      </c>
      <c r="E89" s="190">
        <f t="shared" si="17"/>
        <v>9.5465000000000003E-4</v>
      </c>
      <c r="F89" s="190">
        <f t="shared" si="17"/>
        <v>9.5465000000000003E-4</v>
      </c>
      <c r="G89" s="190">
        <f t="shared" si="17"/>
        <v>9.5465000000000003E-4</v>
      </c>
      <c r="H89" s="30"/>
      <c r="I89" s="30"/>
      <c r="J89" s="30"/>
      <c r="K89" s="30"/>
      <c r="L89" s="30"/>
      <c r="M89" s="30"/>
      <c r="N89" s="30"/>
      <c r="O89" s="30"/>
      <c r="P89" s="30"/>
      <c r="Q89" s="30"/>
    </row>
    <row r="90" spans="1:17" hidden="1" outlineLevel="4" x14ac:dyDescent="0.3">
      <c r="A90" s="189" t="s">
        <v>80</v>
      </c>
      <c r="B90" s="190">
        <v>9.5465000000000003E-4</v>
      </c>
      <c r="C90" s="190">
        <v>9.5465000000000003E-4</v>
      </c>
      <c r="D90" s="190">
        <v>9.5465000000000003E-4</v>
      </c>
      <c r="E90" s="190">
        <v>9.5465000000000003E-4</v>
      </c>
      <c r="F90" s="190">
        <v>9.5465000000000003E-4</v>
      </c>
      <c r="G90" s="190">
        <v>9.5465000000000003E-4</v>
      </c>
      <c r="H90" s="30"/>
      <c r="I90" s="30"/>
      <c r="J90" s="30"/>
      <c r="K90" s="30"/>
      <c r="L90" s="30"/>
      <c r="M90" s="30"/>
      <c r="N90" s="30"/>
      <c r="O90" s="30"/>
      <c r="P90" s="30"/>
      <c r="Q90" s="30"/>
    </row>
    <row r="91" spans="1:17" ht="14.4" outlineLevel="2" collapsed="1" x14ac:dyDescent="0.3">
      <c r="A91" s="200" t="s">
        <v>22</v>
      </c>
      <c r="B91" s="201">
        <f t="shared" ref="B91:G91" si="18">B$92+B$99+B$102+B$105+B$108</f>
        <v>260.30104304934002</v>
      </c>
      <c r="C91" s="201">
        <f t="shared" si="18"/>
        <v>288.23627507012003</v>
      </c>
      <c r="D91" s="201">
        <f t="shared" si="18"/>
        <v>262.74599794319994</v>
      </c>
      <c r="E91" s="201">
        <f t="shared" si="18"/>
        <v>219.15364540834997</v>
      </c>
      <c r="F91" s="201">
        <f t="shared" si="18"/>
        <v>212.38859318713995</v>
      </c>
      <c r="G91" s="201">
        <f t="shared" si="18"/>
        <v>195.99899329690004</v>
      </c>
      <c r="H91" s="30"/>
      <c r="I91" s="30"/>
      <c r="J91" s="30"/>
      <c r="K91" s="30"/>
      <c r="L91" s="30"/>
      <c r="M91" s="30"/>
      <c r="N91" s="30"/>
      <c r="O91" s="30"/>
      <c r="P91" s="30"/>
      <c r="Q91" s="30"/>
    </row>
    <row r="92" spans="1:17" hidden="1" outlineLevel="3" x14ac:dyDescent="0.3">
      <c r="A92" s="191" t="s">
        <v>23</v>
      </c>
      <c r="B92" s="190">
        <f t="shared" ref="B92:G92" si="19">SUM(B$93:B$98)</f>
        <v>186.07888667076</v>
      </c>
      <c r="C92" s="190">
        <f t="shared" si="19"/>
        <v>191.23700154050002</v>
      </c>
      <c r="D92" s="190">
        <f t="shared" si="19"/>
        <v>160.72856170807</v>
      </c>
      <c r="E92" s="190">
        <f t="shared" si="19"/>
        <v>136.28570344675998</v>
      </c>
      <c r="F92" s="190">
        <f t="shared" si="19"/>
        <v>129.05537836067998</v>
      </c>
      <c r="G92" s="190">
        <f t="shared" si="19"/>
        <v>108.92440896404001</v>
      </c>
      <c r="H92" s="30"/>
      <c r="I92" s="30"/>
      <c r="J92" s="30"/>
      <c r="K92" s="30"/>
      <c r="L92" s="30"/>
      <c r="M92" s="30"/>
      <c r="N92" s="30"/>
      <c r="O92" s="30"/>
      <c r="P92" s="30"/>
      <c r="Q92" s="30"/>
    </row>
    <row r="93" spans="1:17" hidden="1" outlineLevel="4" x14ac:dyDescent="0.3">
      <c r="A93" s="189" t="s">
        <v>81</v>
      </c>
      <c r="B93" s="190">
        <v>9.2767800000000005</v>
      </c>
      <c r="C93" s="190">
        <v>11.6853</v>
      </c>
      <c r="D93" s="190">
        <v>12.662369999999999</v>
      </c>
      <c r="E93" s="190">
        <v>13.17798</v>
      </c>
      <c r="F93" s="190">
        <v>14.956950000000001</v>
      </c>
      <c r="G93" s="190">
        <v>15.564120000000001</v>
      </c>
      <c r="H93" s="30"/>
      <c r="I93" s="30"/>
      <c r="J93" s="30"/>
      <c r="K93" s="30"/>
      <c r="L93" s="30"/>
      <c r="M93" s="30"/>
      <c r="N93" s="30"/>
      <c r="O93" s="30"/>
      <c r="P93" s="30"/>
      <c r="Q93" s="30"/>
    </row>
    <row r="94" spans="1:17" hidden="1" outlineLevel="4" x14ac:dyDescent="0.3">
      <c r="A94" s="189" t="s">
        <v>26</v>
      </c>
      <c r="B94" s="190">
        <v>9.2796015706299997</v>
      </c>
      <c r="C94" s="190">
        <v>22.173127630060002</v>
      </c>
      <c r="D94" s="190">
        <v>42.482597292279998</v>
      </c>
      <c r="E94" s="190">
        <v>45.32443061531</v>
      </c>
      <c r="F94" s="190">
        <v>66.783923133800002</v>
      </c>
      <c r="G94" s="190">
        <v>50.914574980060003</v>
      </c>
      <c r="H94" s="30"/>
      <c r="I94" s="30"/>
      <c r="J94" s="30"/>
      <c r="K94" s="30"/>
      <c r="L94" s="30"/>
      <c r="M94" s="30"/>
      <c r="N94" s="30"/>
      <c r="O94" s="30"/>
      <c r="P94" s="30"/>
      <c r="Q94" s="30"/>
    </row>
    <row r="95" spans="1:17" hidden="1" outlineLevel="4" x14ac:dyDescent="0.3">
      <c r="A95" s="189" t="s">
        <v>27</v>
      </c>
      <c r="B95" s="190">
        <v>1.685745539</v>
      </c>
      <c r="C95" s="190">
        <v>4.0027995150000004</v>
      </c>
      <c r="D95" s="190">
        <v>4.2488582534999999</v>
      </c>
      <c r="E95" s="190">
        <v>8.0852744912300007</v>
      </c>
      <c r="F95" s="190">
        <v>9.0394754543799998</v>
      </c>
      <c r="G95" s="190">
        <v>9.15079643302</v>
      </c>
      <c r="H95" s="30"/>
      <c r="I95" s="30"/>
      <c r="J95" s="30"/>
      <c r="K95" s="30"/>
      <c r="L95" s="30"/>
      <c r="M95" s="30"/>
      <c r="N95" s="30"/>
      <c r="O95" s="30"/>
      <c r="P95" s="30"/>
      <c r="Q95" s="30"/>
    </row>
    <row r="96" spans="1:17" hidden="1" outlineLevel="4" x14ac:dyDescent="0.3">
      <c r="A96" s="189" t="s">
        <v>31</v>
      </c>
      <c r="B96" s="190">
        <v>12.77248679523</v>
      </c>
      <c r="C96" s="190">
        <v>17.16922751996</v>
      </c>
      <c r="D96" s="190">
        <v>20.401384690299999</v>
      </c>
      <c r="E96" s="190">
        <v>21.577228281509999</v>
      </c>
      <c r="F96" s="190">
        <v>20.65386147676</v>
      </c>
      <c r="G96" s="190">
        <v>22.14847821943</v>
      </c>
      <c r="H96" s="30"/>
      <c r="I96" s="30"/>
      <c r="J96" s="30"/>
      <c r="K96" s="30"/>
      <c r="L96" s="30"/>
      <c r="M96" s="30"/>
      <c r="N96" s="30"/>
      <c r="O96" s="30"/>
      <c r="P96" s="30"/>
      <c r="Q96" s="30"/>
    </row>
    <row r="97" spans="1:17" hidden="1" outlineLevel="4" x14ac:dyDescent="0.3">
      <c r="A97" s="189" t="s">
        <v>32</v>
      </c>
      <c r="B97" s="190">
        <v>153.0642727659</v>
      </c>
      <c r="C97" s="190">
        <v>136.20086235975</v>
      </c>
      <c r="D97" s="190">
        <v>80.927352987519996</v>
      </c>
      <c r="E97" s="190">
        <v>48.108513283420002</v>
      </c>
      <c r="F97" s="190">
        <v>17.581329146990001</v>
      </c>
      <c r="G97" s="190">
        <v>11.100181129339999</v>
      </c>
      <c r="H97" s="30"/>
      <c r="I97" s="30"/>
      <c r="J97" s="30"/>
      <c r="K97" s="30"/>
      <c r="L97" s="30"/>
      <c r="M97" s="30"/>
      <c r="N97" s="30"/>
      <c r="O97" s="30"/>
      <c r="P97" s="30"/>
      <c r="Q97" s="30"/>
    </row>
    <row r="98" spans="1:17" hidden="1" outlineLevel="4" x14ac:dyDescent="0.3">
      <c r="A98" s="189" t="s">
        <v>33</v>
      </c>
      <c r="B98" s="190">
        <v>0</v>
      </c>
      <c r="C98" s="190">
        <v>5.6845157299999999E-3</v>
      </c>
      <c r="D98" s="190">
        <v>5.99848447E-3</v>
      </c>
      <c r="E98" s="190">
        <v>1.227677529E-2</v>
      </c>
      <c r="F98" s="190">
        <v>3.9839148749999997E-2</v>
      </c>
      <c r="G98" s="190">
        <v>4.625820219E-2</v>
      </c>
      <c r="H98" s="30"/>
      <c r="I98" s="30"/>
      <c r="J98" s="30"/>
      <c r="K98" s="30"/>
      <c r="L98" s="30"/>
      <c r="M98" s="30"/>
      <c r="N98" s="30"/>
      <c r="O98" s="30"/>
      <c r="P98" s="30"/>
      <c r="Q98" s="30"/>
    </row>
    <row r="99" spans="1:17" hidden="1" outlineLevel="3" x14ac:dyDescent="0.3">
      <c r="A99" s="191" t="s">
        <v>82</v>
      </c>
      <c r="B99" s="190">
        <f t="shared" ref="B99:G99" si="20">SUM(B$100:B$101)</f>
        <v>24.550380000000001</v>
      </c>
      <c r="C99" s="190">
        <f t="shared" si="20"/>
        <v>30.169094999999999</v>
      </c>
      <c r="D99" s="190">
        <f t="shared" si="20"/>
        <v>32.463972362509999</v>
      </c>
      <c r="E99" s="190">
        <f t="shared" si="20"/>
        <v>36.060648373310002</v>
      </c>
      <c r="F99" s="190">
        <f t="shared" si="20"/>
        <v>36.535842410389996</v>
      </c>
      <c r="G99" s="190">
        <f t="shared" si="20"/>
        <v>38.383637148520002</v>
      </c>
      <c r="H99" s="30"/>
      <c r="I99" s="30"/>
      <c r="J99" s="30"/>
      <c r="K99" s="30"/>
      <c r="L99" s="30"/>
      <c r="M99" s="30"/>
      <c r="N99" s="30"/>
      <c r="O99" s="30"/>
      <c r="P99" s="30"/>
      <c r="Q99" s="30"/>
    </row>
    <row r="100" spans="1:17" hidden="1" outlineLevel="4" x14ac:dyDescent="0.3">
      <c r="A100" s="189" t="s">
        <v>83</v>
      </c>
      <c r="B100" s="190">
        <v>24.550380000000001</v>
      </c>
      <c r="C100" s="190">
        <v>30.169094999999999</v>
      </c>
      <c r="D100" s="190">
        <v>31.33548</v>
      </c>
      <c r="E100" s="190">
        <v>34.682175000000001</v>
      </c>
      <c r="F100" s="190">
        <v>34.969935</v>
      </c>
      <c r="G100" s="190">
        <v>36.7541625</v>
      </c>
      <c r="H100" s="30"/>
      <c r="I100" s="30"/>
      <c r="J100" s="30"/>
      <c r="K100" s="30"/>
      <c r="L100" s="30"/>
      <c r="M100" s="30"/>
      <c r="N100" s="30"/>
      <c r="O100" s="30"/>
      <c r="P100" s="30"/>
      <c r="Q100" s="30"/>
    </row>
    <row r="101" spans="1:17" hidden="1" outlineLevel="4" x14ac:dyDescent="0.3">
      <c r="A101" s="189" t="s">
        <v>39</v>
      </c>
      <c r="B101" s="190">
        <v>0</v>
      </c>
      <c r="C101" s="190">
        <v>0</v>
      </c>
      <c r="D101" s="190">
        <v>1.1284923625100001</v>
      </c>
      <c r="E101" s="190">
        <v>1.3784733733100001</v>
      </c>
      <c r="F101" s="190">
        <v>1.5659074103899999</v>
      </c>
      <c r="G101" s="190">
        <v>1.62947464852</v>
      </c>
      <c r="H101" s="30"/>
      <c r="I101" s="30"/>
      <c r="J101" s="30"/>
      <c r="K101" s="30"/>
      <c r="L101" s="30"/>
      <c r="M101" s="30"/>
      <c r="N101" s="30"/>
      <c r="O101" s="30"/>
      <c r="P101" s="30"/>
      <c r="Q101" s="30"/>
    </row>
    <row r="102" spans="1:17" hidden="1" outlineLevel="3" x14ac:dyDescent="0.3">
      <c r="A102" s="191" t="s">
        <v>47</v>
      </c>
      <c r="B102" s="190">
        <f t="shared" ref="B102:G102" si="21">SUM(B$103:B$104)</f>
        <v>4.9631423273299999</v>
      </c>
      <c r="C102" s="190">
        <f t="shared" si="21"/>
        <v>7.09944966691</v>
      </c>
      <c r="D102" s="190">
        <f t="shared" si="21"/>
        <v>7.4799616972800003</v>
      </c>
      <c r="E102" s="190">
        <f t="shared" si="21"/>
        <v>7.6600232181100001</v>
      </c>
      <c r="F102" s="190">
        <f t="shared" si="21"/>
        <v>7.0996304551599998</v>
      </c>
      <c r="G102" s="190">
        <f t="shared" si="21"/>
        <v>6.9700285497800003</v>
      </c>
      <c r="H102" s="30"/>
      <c r="I102" s="30"/>
      <c r="J102" s="30"/>
      <c r="K102" s="30"/>
      <c r="L102" s="30"/>
      <c r="M102" s="30"/>
      <c r="N102" s="30"/>
      <c r="O102" s="30"/>
      <c r="P102" s="30"/>
      <c r="Q102" s="30"/>
    </row>
    <row r="103" spans="1:17" hidden="1" outlineLevel="4" x14ac:dyDescent="0.3">
      <c r="A103" s="189" t="s">
        <v>84</v>
      </c>
      <c r="B103" s="190">
        <v>4.4761919675000001</v>
      </c>
      <c r="C103" s="190">
        <v>6.8946523524199996</v>
      </c>
      <c r="D103" s="190">
        <v>7.4799616972800003</v>
      </c>
      <c r="E103" s="190">
        <v>7.6600232181100001</v>
      </c>
      <c r="F103" s="190">
        <v>7.0996304551599998</v>
      </c>
      <c r="G103" s="190">
        <v>6.9700285497800003</v>
      </c>
      <c r="H103" s="30"/>
      <c r="I103" s="30"/>
      <c r="J103" s="30"/>
      <c r="K103" s="30"/>
      <c r="L103" s="30"/>
      <c r="M103" s="30"/>
      <c r="N103" s="30"/>
      <c r="O103" s="30"/>
      <c r="P103" s="30"/>
      <c r="Q103" s="30"/>
    </row>
    <row r="104" spans="1:17" hidden="1" outlineLevel="4" x14ac:dyDescent="0.3">
      <c r="A104" s="189" t="s">
        <v>52</v>
      </c>
      <c r="B104" s="190">
        <v>0.48695035983000001</v>
      </c>
      <c r="C104" s="190">
        <v>0.20479731448999999</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41.599254999999999</v>
      </c>
      <c r="C105" s="190">
        <f t="shared" si="22"/>
        <v>55.767115000000004</v>
      </c>
      <c r="D105" s="190">
        <f t="shared" si="22"/>
        <v>57.923159999999996</v>
      </c>
      <c r="E105" s="190">
        <f t="shared" si="22"/>
        <v>34.682175000000001</v>
      </c>
      <c r="F105" s="190">
        <f t="shared" si="22"/>
        <v>34.969935</v>
      </c>
      <c r="G105" s="190">
        <f t="shared" si="22"/>
        <v>36.7541625</v>
      </c>
      <c r="H105" s="30"/>
      <c r="I105" s="30"/>
      <c r="J105" s="30"/>
      <c r="K105" s="30"/>
      <c r="L105" s="30"/>
      <c r="M105" s="30"/>
      <c r="N105" s="30"/>
      <c r="O105" s="30"/>
      <c r="P105" s="30"/>
      <c r="Q105" s="30"/>
    </row>
    <row r="106" spans="1:17" hidden="1" outlineLevel="4" x14ac:dyDescent="0.3">
      <c r="A106" s="189" t="s">
        <v>86</v>
      </c>
      <c r="B106" s="190">
        <v>19.094740000000002</v>
      </c>
      <c r="C106" s="190">
        <v>25.598020000000002</v>
      </c>
      <c r="D106" s="190">
        <v>26.587679999999999</v>
      </c>
      <c r="E106" s="190">
        <v>0</v>
      </c>
      <c r="F106" s="190">
        <v>0</v>
      </c>
      <c r="G106" s="190">
        <v>0</v>
      </c>
      <c r="H106" s="30"/>
      <c r="I106" s="30"/>
      <c r="J106" s="30"/>
      <c r="K106" s="30"/>
      <c r="L106" s="30"/>
      <c r="M106" s="30"/>
      <c r="N106" s="30"/>
      <c r="O106" s="30"/>
      <c r="P106" s="30"/>
      <c r="Q106" s="30"/>
    </row>
    <row r="107" spans="1:17" hidden="1" outlineLevel="4" x14ac:dyDescent="0.3">
      <c r="A107" s="189" t="s">
        <v>87</v>
      </c>
      <c r="B107" s="190">
        <v>22.504515000000001</v>
      </c>
      <c r="C107" s="190">
        <v>30.169094999999999</v>
      </c>
      <c r="D107" s="190">
        <v>31.33548</v>
      </c>
      <c r="E107" s="190">
        <v>34.682175000000001</v>
      </c>
      <c r="F107" s="190">
        <v>34.969935</v>
      </c>
      <c r="G107" s="190">
        <v>36.7541625</v>
      </c>
      <c r="H107" s="30"/>
      <c r="I107" s="30"/>
      <c r="J107" s="30"/>
      <c r="K107" s="30"/>
      <c r="L107" s="30"/>
      <c r="M107" s="30"/>
      <c r="N107" s="30"/>
      <c r="O107" s="30"/>
      <c r="P107" s="30"/>
      <c r="Q107" s="30"/>
    </row>
    <row r="108" spans="1:17" hidden="1" outlineLevel="3" x14ac:dyDescent="0.3">
      <c r="A108" s="191" t="s">
        <v>65</v>
      </c>
      <c r="B108" s="190">
        <f t="shared" ref="B108:G108" si="23">SUM(B$109:B$109)</f>
        <v>3.1093790512499999</v>
      </c>
      <c r="C108" s="190">
        <f t="shared" si="23"/>
        <v>3.9636138627099999</v>
      </c>
      <c r="D108" s="190">
        <f t="shared" si="23"/>
        <v>4.1503421753399996</v>
      </c>
      <c r="E108" s="190">
        <f t="shared" si="23"/>
        <v>4.4650953701700002</v>
      </c>
      <c r="F108" s="190">
        <f t="shared" si="23"/>
        <v>4.7278069609099997</v>
      </c>
      <c r="G108" s="190">
        <f t="shared" si="23"/>
        <v>4.9667561345599998</v>
      </c>
      <c r="H108" s="30"/>
      <c r="I108" s="30"/>
      <c r="J108" s="30"/>
      <c r="K108" s="30"/>
      <c r="L108" s="30"/>
      <c r="M108" s="30"/>
      <c r="N108" s="30"/>
      <c r="O108" s="30"/>
      <c r="P108" s="30"/>
      <c r="Q108" s="30"/>
    </row>
    <row r="109" spans="1:17" hidden="1" outlineLevel="4" x14ac:dyDescent="0.3">
      <c r="A109" s="189" t="s">
        <v>32</v>
      </c>
      <c r="B109" s="190">
        <v>3.1093790512499999</v>
      </c>
      <c r="C109" s="190">
        <v>3.9636138627099999</v>
      </c>
      <c r="D109" s="190">
        <v>4.1503421753399996</v>
      </c>
      <c r="E109" s="190">
        <v>4.4650953701700002</v>
      </c>
      <c r="F109" s="190">
        <v>4.7278069609099997</v>
      </c>
      <c r="G109" s="190">
        <v>4.9667561345599998</v>
      </c>
      <c r="H109" s="30"/>
      <c r="I109" s="30"/>
      <c r="J109" s="30"/>
      <c r="K109" s="30"/>
      <c r="L109" s="30"/>
      <c r="M109" s="30"/>
      <c r="N109" s="30"/>
      <c r="O109" s="30"/>
      <c r="P109" s="30"/>
      <c r="Q109" s="30"/>
    </row>
    <row r="110" spans="1:17" ht="40.049999999999997" customHeight="1" x14ac:dyDescent="0.3">
      <c r="A110" s="298" t="s">
        <v>158</v>
      </c>
      <c r="B110" s="299"/>
      <c r="C110" s="299"/>
      <c r="D110" s="299"/>
      <c r="E110" s="299"/>
      <c r="F110" s="299"/>
      <c r="G110" s="299"/>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row r="125" spans="2:17" x14ac:dyDescent="0.3">
      <c r="B125" s="29"/>
      <c r="C125" s="29"/>
      <c r="D125" s="29"/>
      <c r="E125" s="29"/>
      <c r="F125" s="29"/>
      <c r="G125" s="29"/>
      <c r="H125" s="30"/>
      <c r="I125" s="30"/>
      <c r="J125" s="30"/>
      <c r="K125" s="30"/>
      <c r="L125" s="30"/>
      <c r="M125" s="30"/>
      <c r="N125" s="30"/>
      <c r="O125" s="30"/>
      <c r="P125" s="30"/>
      <c r="Q125" s="30"/>
    </row>
    <row r="126" spans="2:17" x14ac:dyDescent="0.3">
      <c r="B126" s="29"/>
      <c r="C126" s="29"/>
      <c r="D126" s="29"/>
      <c r="E126" s="29"/>
      <c r="F126" s="29"/>
      <c r="G126" s="29"/>
      <c r="H126" s="30"/>
      <c r="I126" s="30"/>
      <c r="J126" s="30"/>
      <c r="K126" s="30"/>
      <c r="L126" s="30"/>
      <c r="M126" s="30"/>
      <c r="N126" s="30"/>
      <c r="O126" s="30"/>
      <c r="P126" s="30"/>
      <c r="Q126" s="30"/>
    </row>
    <row r="127" spans="2:17" x14ac:dyDescent="0.3">
      <c r="B127" s="29"/>
      <c r="C127" s="29"/>
      <c r="D127" s="29"/>
      <c r="E127" s="29"/>
      <c r="F127" s="29"/>
      <c r="G127" s="29"/>
      <c r="H127" s="30"/>
      <c r="I127" s="30"/>
      <c r="J127" s="30"/>
      <c r="K127" s="30"/>
      <c r="L127" s="30"/>
      <c r="M127" s="30"/>
      <c r="N127" s="30"/>
      <c r="O127" s="30"/>
      <c r="P127" s="30"/>
      <c r="Q127" s="30"/>
    </row>
    <row r="128" spans="2:17" x14ac:dyDescent="0.3">
      <c r="B128" s="29"/>
      <c r="C128" s="29"/>
      <c r="D128" s="29"/>
      <c r="E128" s="29"/>
      <c r="F128" s="29"/>
      <c r="G128" s="29"/>
      <c r="H128" s="30"/>
      <c r="I128" s="30"/>
      <c r="J128" s="30"/>
      <c r="K128" s="30"/>
      <c r="L128" s="30"/>
      <c r="M128" s="30"/>
      <c r="N128" s="30"/>
      <c r="O128" s="30"/>
      <c r="P128" s="30"/>
      <c r="Q128" s="30"/>
    </row>
    <row r="129" spans="2:17" x14ac:dyDescent="0.3">
      <c r="B129" s="29"/>
      <c r="C129" s="29"/>
      <c r="D129" s="29"/>
      <c r="E129" s="29"/>
      <c r="F129" s="29"/>
      <c r="G129" s="29"/>
      <c r="H129" s="30"/>
      <c r="I129" s="30"/>
      <c r="J129" s="30"/>
      <c r="K129" s="30"/>
      <c r="L129" s="30"/>
      <c r="M129" s="30"/>
      <c r="N129" s="30"/>
      <c r="O129" s="30"/>
      <c r="P129" s="30"/>
      <c r="Q129" s="30"/>
    </row>
    <row r="130" spans="2:17" x14ac:dyDescent="0.3">
      <c r="B130" s="29"/>
      <c r="C130" s="29"/>
      <c r="D130" s="29"/>
      <c r="E130" s="29"/>
      <c r="F130" s="29"/>
      <c r="G130" s="29"/>
      <c r="H130" s="30"/>
      <c r="I130" s="30"/>
      <c r="J130" s="30"/>
      <c r="K130" s="30"/>
      <c r="L130" s="30"/>
      <c r="M130" s="30"/>
      <c r="N130" s="30"/>
      <c r="O130" s="30"/>
      <c r="P130" s="30"/>
      <c r="Q130" s="30"/>
    </row>
    <row r="131" spans="2:17" x14ac:dyDescent="0.3">
      <c r="B131" s="29"/>
      <c r="C131" s="29"/>
      <c r="D131" s="29"/>
      <c r="E131" s="29"/>
      <c r="F131" s="29"/>
      <c r="G131" s="29"/>
      <c r="H131" s="30"/>
      <c r="I131" s="30"/>
      <c r="J131" s="30"/>
      <c r="K131" s="30"/>
      <c r="L131" s="30"/>
      <c r="M131" s="30"/>
      <c r="N131" s="30"/>
      <c r="O131" s="30"/>
      <c r="P131" s="30"/>
      <c r="Q131" s="30"/>
    </row>
    <row r="132" spans="2:17" x14ac:dyDescent="0.3">
      <c r="B132" s="29"/>
      <c r="C132" s="29"/>
      <c r="D132" s="29"/>
      <c r="E132" s="29"/>
      <c r="F132" s="29"/>
      <c r="G132" s="29"/>
      <c r="H132" s="30"/>
      <c r="I132" s="30"/>
      <c r="J132" s="30"/>
      <c r="K132" s="30"/>
      <c r="L132" s="30"/>
      <c r="M132" s="30"/>
      <c r="N132" s="30"/>
      <c r="O132" s="30"/>
      <c r="P132" s="30"/>
      <c r="Q132" s="30"/>
    </row>
    <row r="133" spans="2:17" x14ac:dyDescent="0.3">
      <c r="B133" s="29"/>
      <c r="C133" s="29"/>
      <c r="D133" s="29"/>
      <c r="E133" s="29"/>
      <c r="F133" s="29"/>
      <c r="G133" s="29"/>
      <c r="H133" s="30"/>
      <c r="I133" s="30"/>
      <c r="J133" s="30"/>
      <c r="K133" s="30"/>
      <c r="L133" s="30"/>
      <c r="M133" s="30"/>
      <c r="N133" s="30"/>
      <c r="O133" s="30"/>
      <c r="P133" s="30"/>
      <c r="Q133" s="30"/>
    </row>
    <row r="134" spans="2:17" x14ac:dyDescent="0.3">
      <c r="B134" s="29"/>
      <c r="C134" s="29"/>
      <c r="D134" s="29"/>
      <c r="E134" s="29"/>
      <c r="F134" s="29"/>
      <c r="G134" s="29"/>
      <c r="H134" s="30"/>
      <c r="I134" s="30"/>
      <c r="J134" s="30"/>
      <c r="K134" s="30"/>
      <c r="L134" s="30"/>
      <c r="M134" s="30"/>
      <c r="N134" s="30"/>
      <c r="O134" s="30"/>
      <c r="P134" s="30"/>
      <c r="Q134" s="30"/>
    </row>
    <row r="135" spans="2:17" x14ac:dyDescent="0.3">
      <c r="B135" s="29"/>
      <c r="C135" s="29"/>
      <c r="D135" s="29"/>
      <c r="E135" s="29"/>
      <c r="F135" s="29"/>
      <c r="G135" s="29"/>
      <c r="H135" s="30"/>
      <c r="I135" s="30"/>
      <c r="J135" s="30"/>
      <c r="K135" s="30"/>
      <c r="L135" s="30"/>
      <c r="M135" s="30"/>
      <c r="N135" s="30"/>
      <c r="O135" s="30"/>
      <c r="P135" s="30"/>
      <c r="Q135" s="30"/>
    </row>
    <row r="136" spans="2:17" x14ac:dyDescent="0.3">
      <c r="B136" s="29"/>
      <c r="C136" s="29"/>
      <c r="D136" s="29"/>
      <c r="E136" s="29"/>
      <c r="F136" s="29"/>
      <c r="G136" s="29"/>
      <c r="H136" s="30"/>
      <c r="I136" s="30"/>
      <c r="J136" s="30"/>
      <c r="K136" s="30"/>
      <c r="L136" s="30"/>
      <c r="M136" s="30"/>
      <c r="N136" s="30"/>
      <c r="O136" s="30"/>
      <c r="P136" s="30"/>
      <c r="Q136" s="30"/>
    </row>
    <row r="137" spans="2:17" x14ac:dyDescent="0.3">
      <c r="B137" s="29"/>
      <c r="C137" s="29"/>
      <c r="D137" s="29"/>
      <c r="E137" s="29"/>
      <c r="F137" s="29"/>
      <c r="G137" s="29"/>
      <c r="H137" s="30"/>
      <c r="I137" s="30"/>
      <c r="J137" s="30"/>
      <c r="K137" s="30"/>
      <c r="L137" s="30"/>
      <c r="M137" s="30"/>
      <c r="N137" s="30"/>
      <c r="O137" s="30"/>
      <c r="P137" s="30"/>
      <c r="Q137" s="30"/>
    </row>
    <row r="138" spans="2:17" x14ac:dyDescent="0.3">
      <c r="B138" s="29"/>
      <c r="C138" s="29"/>
      <c r="D138" s="29"/>
      <c r="E138" s="29"/>
      <c r="F138" s="29"/>
      <c r="G138" s="29"/>
      <c r="H138" s="30"/>
      <c r="I138" s="30"/>
      <c r="J138" s="30"/>
      <c r="K138" s="30"/>
      <c r="L138" s="30"/>
      <c r="M138" s="30"/>
      <c r="N138" s="30"/>
      <c r="O138" s="30"/>
      <c r="P138" s="30"/>
      <c r="Q138" s="30"/>
    </row>
    <row r="139" spans="2:17" x14ac:dyDescent="0.3">
      <c r="B139" s="29"/>
      <c r="C139" s="29"/>
      <c r="D139" s="29"/>
      <c r="E139" s="29"/>
      <c r="F139" s="29"/>
      <c r="G139" s="29"/>
      <c r="H139" s="30"/>
      <c r="I139" s="30"/>
      <c r="J139" s="30"/>
      <c r="K139" s="30"/>
      <c r="L139" s="30"/>
      <c r="M139" s="30"/>
      <c r="N139" s="30"/>
      <c r="O139" s="30"/>
      <c r="P139" s="30"/>
      <c r="Q139" s="30"/>
    </row>
  </sheetData>
  <mergeCells count="2">
    <mergeCell ref="A2:G2"/>
    <mergeCell ref="A110:G110"/>
  </mergeCells>
  <phoneticPr fontId="4" type="noConversion"/>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29">
    <tabColor indexed="50"/>
    <outlinePr applyStyles="1" summaryBelow="0"/>
    <pageSetUpPr fitToPage="1"/>
  </sheetPr>
  <dimension ref="A2:S124"/>
  <sheetViews>
    <sheetView workbookViewId="0">
      <selection activeCell="E114" sqref="E114"/>
    </sheetView>
  </sheetViews>
  <sheetFormatPr defaultColWidth="9.109375" defaultRowHeight="13.8" outlineLevelRow="4" x14ac:dyDescent="0.3"/>
  <cols>
    <col min="1" max="1" width="52" style="26" customWidth="1"/>
    <col min="2" max="7" width="15.10937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VALUSD</f>
        <v>млрд. дол. США</v>
      </c>
    </row>
    <row r="5" spans="1:19" s="18" customFormat="1" x14ac:dyDescent="0.25">
      <c r="A5" s="16"/>
      <c r="B5" s="17">
        <v>44561</v>
      </c>
      <c r="C5" s="17">
        <v>44926</v>
      </c>
      <c r="D5" s="17">
        <v>45291</v>
      </c>
      <c r="E5" s="17">
        <v>45657</v>
      </c>
      <c r="F5" s="17">
        <v>46022</v>
      </c>
      <c r="G5" s="17">
        <v>46265</v>
      </c>
    </row>
    <row r="6" spans="1:19" s="19" customFormat="1" ht="31.2" x14ac:dyDescent="0.25">
      <c r="A6" s="154"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6" s="25">
        <f t="shared" ref="B6:G6" si="0">B$7+B$72</f>
        <v>97.955877598960001</v>
      </c>
      <c r="C6" s="25">
        <f t="shared" si="0"/>
        <v>111.44992803012002</v>
      </c>
      <c r="D6" s="25">
        <f t="shared" si="0"/>
        <v>145.32087120892999</v>
      </c>
      <c r="E6" s="25">
        <f t="shared" si="0"/>
        <v>166.05975130831999</v>
      </c>
      <c r="F6" s="25">
        <f t="shared" si="0"/>
        <v>213.33206790508999</v>
      </c>
      <c r="G6" s="25">
        <f t="shared" si="0"/>
        <v>215.55073598985001</v>
      </c>
    </row>
    <row r="7" spans="1:19" s="20" customFormat="1" ht="14.4" outlineLevel="1" x14ac:dyDescent="0.25">
      <c r="A7" s="196" t="s">
        <v>1</v>
      </c>
      <c r="B7" s="197">
        <f t="shared" ref="B7:G7" si="1">B$8+B$27</f>
        <v>86.615691312519999</v>
      </c>
      <c r="C7" s="197">
        <f t="shared" si="1"/>
        <v>101.59354286955002</v>
      </c>
      <c r="D7" s="197">
        <f t="shared" si="1"/>
        <v>136.59196737238</v>
      </c>
      <c r="E7" s="197">
        <f t="shared" si="1"/>
        <v>159.19681191119</v>
      </c>
      <c r="F7" s="197">
        <f t="shared" si="1"/>
        <v>206.80464722402999</v>
      </c>
      <c r="G7" s="197">
        <f t="shared" si="1"/>
        <v>209.76376640347002</v>
      </c>
    </row>
    <row r="8" spans="1:19" s="21" customFormat="1" ht="14.4" outlineLevel="2" collapsed="1" x14ac:dyDescent="0.25">
      <c r="A8" s="198" t="s">
        <v>3</v>
      </c>
      <c r="B8" s="199">
        <f t="shared" ref="B8:G8" si="2">B$9+B$25</f>
        <v>38.952681436219997</v>
      </c>
      <c r="C8" s="199">
        <f t="shared" si="2"/>
        <v>38.002282077160011</v>
      </c>
      <c r="D8" s="199">
        <f t="shared" si="2"/>
        <v>41.800875791419998</v>
      </c>
      <c r="E8" s="199">
        <f t="shared" si="2"/>
        <v>44.319135028529999</v>
      </c>
      <c r="F8" s="199">
        <f t="shared" si="2"/>
        <v>46.409759241669995</v>
      </c>
      <c r="G8" s="199">
        <f t="shared" si="2"/>
        <v>44.968409390170002</v>
      </c>
    </row>
    <row r="9" spans="1:19" s="22" customFormat="1" hidden="1" outlineLevel="3" x14ac:dyDescent="0.25">
      <c r="A9" s="186" t="s">
        <v>4</v>
      </c>
      <c r="B9" s="187">
        <f t="shared" ref="B9:G9" si="3">SUM(B$10:B$24)</f>
        <v>38.884805428449994</v>
      </c>
      <c r="C9" s="187">
        <f t="shared" si="3"/>
        <v>37.955266801960008</v>
      </c>
      <c r="D9" s="187">
        <f t="shared" si="3"/>
        <v>41.759092484669999</v>
      </c>
      <c r="E9" s="187">
        <f t="shared" si="3"/>
        <v>44.284529596719999</v>
      </c>
      <c r="F9" s="187">
        <f t="shared" si="3"/>
        <v>46.378558631459995</v>
      </c>
      <c r="G9" s="187">
        <f t="shared" si="3"/>
        <v>44.940207709740001</v>
      </c>
    </row>
    <row r="10" spans="1:19" s="42" customFormat="1" hidden="1" outlineLevel="4" x14ac:dyDescent="0.25">
      <c r="A10" s="188" t="s">
        <v>5</v>
      </c>
      <c r="B10" s="180">
        <v>5.4988965549999998E-2</v>
      </c>
      <c r="C10" s="180">
        <v>0</v>
      </c>
      <c r="D10" s="180">
        <v>0</v>
      </c>
      <c r="E10" s="180">
        <v>0</v>
      </c>
      <c r="F10" s="180">
        <v>0</v>
      </c>
      <c r="G10" s="180">
        <v>0</v>
      </c>
    </row>
    <row r="11" spans="1:19" hidden="1" outlineLevel="4" x14ac:dyDescent="0.3">
      <c r="A11" s="189" t="s">
        <v>6</v>
      </c>
      <c r="B11" s="190">
        <v>1.2097572419999999E-2</v>
      </c>
      <c r="C11" s="190">
        <v>9.0241354600000007E-3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2.1111671590999999</v>
      </c>
      <c r="C12" s="190">
        <v>1.3013579956500001</v>
      </c>
      <c r="D12" s="190">
        <v>0.92381840012000005</v>
      </c>
      <c r="E12" s="190">
        <v>0.10109660078</v>
      </c>
      <c r="F12" s="190">
        <v>0.10026469881</v>
      </c>
      <c r="G12" s="190">
        <v>9.5397358060000007E-2</v>
      </c>
      <c r="H12" s="30"/>
      <c r="I12" s="30"/>
      <c r="J12" s="30"/>
      <c r="K12" s="30"/>
      <c r="L12" s="30"/>
      <c r="M12" s="30"/>
      <c r="N12" s="30"/>
      <c r="O12" s="30"/>
      <c r="P12" s="30"/>
      <c r="Q12" s="30"/>
    </row>
    <row r="13" spans="1:19" hidden="1" outlineLevel="4" x14ac:dyDescent="0.3">
      <c r="A13" s="189" t="s">
        <v>8</v>
      </c>
      <c r="B13" s="190">
        <v>1.2771003218600001</v>
      </c>
      <c r="C13" s="190">
        <v>0.95264784545000003</v>
      </c>
      <c r="D13" s="190">
        <v>0.91718790807999995</v>
      </c>
      <c r="E13" s="190">
        <v>0.82868284210999998</v>
      </c>
      <c r="F13" s="190">
        <v>0.56384148268000001</v>
      </c>
      <c r="G13" s="190">
        <v>0.34118584528000001</v>
      </c>
      <c r="H13" s="30"/>
      <c r="I13" s="30"/>
      <c r="J13" s="30"/>
      <c r="K13" s="30"/>
      <c r="L13" s="30"/>
      <c r="M13" s="30"/>
      <c r="N13" s="30"/>
      <c r="O13" s="30"/>
      <c r="P13" s="30"/>
      <c r="Q13" s="30"/>
    </row>
    <row r="14" spans="1:19" hidden="1" outlineLevel="4" x14ac:dyDescent="0.3">
      <c r="A14" s="189" t="s">
        <v>9</v>
      </c>
      <c r="B14" s="190">
        <v>4.7626132956199996</v>
      </c>
      <c r="C14" s="190">
        <v>3.5526522208400002</v>
      </c>
      <c r="D14" s="190">
        <v>3.19136015631</v>
      </c>
      <c r="E14" s="190">
        <v>2.8834063132700001</v>
      </c>
      <c r="F14" s="190">
        <v>2.6012201153199999</v>
      </c>
      <c r="G14" s="190">
        <v>2.40044439463</v>
      </c>
      <c r="H14" s="30"/>
      <c r="I14" s="30"/>
      <c r="J14" s="30"/>
      <c r="K14" s="30"/>
      <c r="L14" s="30"/>
      <c r="M14" s="30"/>
      <c r="N14" s="30"/>
      <c r="O14" s="30"/>
      <c r="P14" s="30"/>
      <c r="Q14" s="30"/>
    </row>
    <row r="15" spans="1:19" hidden="1" outlineLevel="4" x14ac:dyDescent="0.3">
      <c r="A15" s="189" t="s">
        <v>10</v>
      </c>
      <c r="B15" s="190">
        <v>10.71186790196</v>
      </c>
      <c r="C15" s="190">
        <v>7.9375996894699998</v>
      </c>
      <c r="D15" s="190">
        <v>7.6421423606400003</v>
      </c>
      <c r="E15" s="190">
        <v>6.90470534517</v>
      </c>
      <c r="F15" s="190">
        <v>6.72992955523</v>
      </c>
      <c r="G15" s="190">
        <v>6.4032257325000002</v>
      </c>
      <c r="H15" s="30"/>
      <c r="I15" s="30"/>
      <c r="J15" s="30"/>
      <c r="K15" s="30"/>
      <c r="L15" s="30"/>
      <c r="M15" s="30"/>
      <c r="N15" s="30"/>
      <c r="O15" s="30"/>
      <c r="P15" s="30"/>
      <c r="Q15" s="30"/>
    </row>
    <row r="16" spans="1:19" hidden="1" outlineLevel="4" x14ac:dyDescent="0.3">
      <c r="A16" s="189" t="s">
        <v>11</v>
      </c>
      <c r="B16" s="190">
        <v>6.2258763410000001E-2</v>
      </c>
      <c r="C16" s="190">
        <v>1.876765859E-2</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2.9288308245999999</v>
      </c>
      <c r="C17" s="190">
        <v>1.4749438589599999</v>
      </c>
      <c r="D17" s="190">
        <v>0.89160126796000005</v>
      </c>
      <c r="E17" s="190">
        <v>0.80556521325999997</v>
      </c>
      <c r="F17" s="190">
        <v>0</v>
      </c>
      <c r="G17" s="190">
        <v>0</v>
      </c>
      <c r="H17" s="30"/>
      <c r="I17" s="30"/>
      <c r="J17" s="30"/>
      <c r="K17" s="30"/>
      <c r="L17" s="30"/>
      <c r="M17" s="30"/>
      <c r="N17" s="30"/>
      <c r="O17" s="30"/>
      <c r="P17" s="30"/>
      <c r="Q17" s="30"/>
    </row>
    <row r="18" spans="1:17" hidden="1" outlineLevel="4" x14ac:dyDescent="0.3">
      <c r="A18" s="189" t="s">
        <v>13</v>
      </c>
      <c r="B18" s="190">
        <v>2.48105954557</v>
      </c>
      <c r="C18" s="190">
        <v>1.0205288690400001</v>
      </c>
      <c r="D18" s="190">
        <v>0.55335392180999998</v>
      </c>
      <c r="E18" s="190">
        <v>0.42651269060000002</v>
      </c>
      <c r="F18" s="190">
        <v>0.25278301776000001</v>
      </c>
      <c r="G18" s="190">
        <v>0.24051168898</v>
      </c>
      <c r="H18" s="30"/>
      <c r="I18" s="30"/>
      <c r="J18" s="30"/>
      <c r="K18" s="30"/>
      <c r="L18" s="30"/>
      <c r="M18" s="30"/>
      <c r="N18" s="30"/>
      <c r="O18" s="30"/>
      <c r="P18" s="30"/>
      <c r="Q18" s="30"/>
    </row>
    <row r="19" spans="1:17" hidden="1" outlineLevel="4" x14ac:dyDescent="0.3">
      <c r="A19" s="189" t="s">
        <v>14</v>
      </c>
      <c r="B19" s="190">
        <v>14.482821078360001</v>
      </c>
      <c r="C19" s="190">
        <v>4.1482518767999998</v>
      </c>
      <c r="D19" s="190">
        <v>1.7134009435799999</v>
      </c>
      <c r="E19" s="190">
        <v>0.93165420208000005</v>
      </c>
      <c r="F19" s="190">
        <v>0.92398782195999996</v>
      </c>
      <c r="G19" s="190">
        <v>0.63337387905999998</v>
      </c>
      <c r="H19" s="30"/>
      <c r="I19" s="30"/>
      <c r="J19" s="30"/>
      <c r="K19" s="30"/>
      <c r="L19" s="30"/>
      <c r="M19" s="30"/>
      <c r="N19" s="30"/>
      <c r="O19" s="30"/>
      <c r="P19" s="30"/>
      <c r="Q19" s="30"/>
    </row>
    <row r="20" spans="1:17" hidden="1" outlineLevel="4" x14ac:dyDescent="0.3">
      <c r="A20" s="189" t="s">
        <v>15</v>
      </c>
      <c r="B20" s="190">
        <v>0</v>
      </c>
      <c r="C20" s="190">
        <v>17.539492651700002</v>
      </c>
      <c r="D20" s="190">
        <v>12.34377513958</v>
      </c>
      <c r="E20" s="190">
        <v>10.231772877579999</v>
      </c>
      <c r="F20" s="190">
        <v>10.1475778408</v>
      </c>
      <c r="G20" s="190">
        <v>9.6522587176600005</v>
      </c>
      <c r="H20" s="30"/>
      <c r="I20" s="30"/>
      <c r="J20" s="30"/>
      <c r="K20" s="30"/>
      <c r="L20" s="30"/>
      <c r="M20" s="30"/>
      <c r="N20" s="30"/>
      <c r="O20" s="30"/>
      <c r="P20" s="30"/>
      <c r="Q20" s="30"/>
    </row>
    <row r="21" spans="1:17" hidden="1" outlineLevel="4" x14ac:dyDescent="0.3">
      <c r="A21" s="189" t="s">
        <v>16</v>
      </c>
      <c r="B21" s="190">
        <v>0</v>
      </c>
      <c r="C21" s="190">
        <v>0</v>
      </c>
      <c r="D21" s="190">
        <v>13.582452386590001</v>
      </c>
      <c r="E21" s="190">
        <v>5.8887502211099996</v>
      </c>
      <c r="F21" s="190">
        <v>2.2461923477800001</v>
      </c>
      <c r="G21" s="190">
        <v>0.92890681364000005</v>
      </c>
      <c r="H21" s="30"/>
      <c r="I21" s="30"/>
      <c r="J21" s="30"/>
      <c r="K21" s="30"/>
      <c r="L21" s="30"/>
      <c r="M21" s="30"/>
      <c r="N21" s="30"/>
      <c r="O21" s="30"/>
      <c r="P21" s="30"/>
      <c r="Q21" s="30"/>
    </row>
    <row r="22" spans="1:17" hidden="1" outlineLevel="4" x14ac:dyDescent="0.3">
      <c r="A22" s="189" t="s">
        <v>17</v>
      </c>
      <c r="B22" s="190">
        <v>0</v>
      </c>
      <c r="C22" s="190">
        <v>0</v>
      </c>
      <c r="D22" s="190">
        <v>0</v>
      </c>
      <c r="E22" s="190">
        <v>15.28238329076</v>
      </c>
      <c r="F22" s="190">
        <v>9.0040548459400007</v>
      </c>
      <c r="G22" s="190">
        <v>5.7062648007699996</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13.808706905179999</v>
      </c>
      <c r="G23" s="190">
        <v>11.065806619530001</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7.4728318596300003</v>
      </c>
      <c r="H24" s="30"/>
      <c r="I24" s="30"/>
      <c r="J24" s="30"/>
      <c r="K24" s="30"/>
      <c r="L24" s="30"/>
      <c r="M24" s="30"/>
      <c r="N24" s="30"/>
      <c r="O24" s="30"/>
      <c r="P24" s="30"/>
      <c r="Q24" s="30"/>
    </row>
    <row r="25" spans="1:17" hidden="1" outlineLevel="3" x14ac:dyDescent="0.3">
      <c r="A25" s="191" t="s">
        <v>20</v>
      </c>
      <c r="B25" s="190">
        <f t="shared" ref="B25:G25" si="4">SUM(B$26:B$26)</f>
        <v>6.7876007769999996E-2</v>
      </c>
      <c r="C25" s="190">
        <f t="shared" si="4"/>
        <v>4.7015275199999998E-2</v>
      </c>
      <c r="D25" s="190">
        <f t="shared" si="4"/>
        <v>4.1783306749999999E-2</v>
      </c>
      <c r="E25" s="190">
        <f t="shared" si="4"/>
        <v>3.4605431809999997E-2</v>
      </c>
      <c r="F25" s="190">
        <f t="shared" si="4"/>
        <v>3.120061021E-2</v>
      </c>
      <c r="G25" s="190">
        <f t="shared" si="4"/>
        <v>2.8201680430000001E-2</v>
      </c>
      <c r="H25" s="30"/>
      <c r="I25" s="30"/>
      <c r="J25" s="30"/>
      <c r="K25" s="30"/>
      <c r="L25" s="30"/>
      <c r="M25" s="30"/>
      <c r="N25" s="30"/>
      <c r="O25" s="30"/>
      <c r="P25" s="30"/>
      <c r="Q25" s="30"/>
    </row>
    <row r="26" spans="1:17" hidden="1" outlineLevel="4" x14ac:dyDescent="0.3">
      <c r="A26" s="189" t="s">
        <v>21</v>
      </c>
      <c r="B26" s="190">
        <v>6.7876007769999996E-2</v>
      </c>
      <c r="C26" s="190">
        <v>4.7015275199999998E-2</v>
      </c>
      <c r="D26" s="190">
        <v>4.1783306749999999E-2</v>
      </c>
      <c r="E26" s="190">
        <v>3.4605431809999997E-2</v>
      </c>
      <c r="F26" s="190">
        <v>3.120061021E-2</v>
      </c>
      <c r="G26" s="190">
        <v>2.8201680430000001E-2</v>
      </c>
      <c r="H26" s="30"/>
      <c r="I26" s="30"/>
      <c r="J26" s="30"/>
      <c r="K26" s="30"/>
      <c r="L26" s="30"/>
      <c r="M26" s="30"/>
      <c r="N26" s="30"/>
      <c r="O26" s="30"/>
      <c r="P26" s="30"/>
      <c r="Q26" s="30"/>
    </row>
    <row r="27" spans="1:17" ht="14.4" outlineLevel="2" collapsed="1" x14ac:dyDescent="0.3">
      <c r="A27" s="200" t="s">
        <v>22</v>
      </c>
      <c r="B27" s="201">
        <f t="shared" ref="B27:G27" si="5">B$28+B$39+B$50+B$52+B$59+B$68+B$70</f>
        <v>47.663009876300002</v>
      </c>
      <c r="C27" s="201">
        <f t="shared" si="5"/>
        <v>63.591260792390003</v>
      </c>
      <c r="D27" s="201">
        <f t="shared" si="5"/>
        <v>94.791091580959986</v>
      </c>
      <c r="E27" s="201">
        <f t="shared" si="5"/>
        <v>114.87767688266</v>
      </c>
      <c r="F27" s="201">
        <f t="shared" si="5"/>
        <v>160.39488798235999</v>
      </c>
      <c r="G27" s="201">
        <f t="shared" si="5"/>
        <v>164.79535701330002</v>
      </c>
      <c r="H27" s="30"/>
      <c r="I27" s="30"/>
      <c r="J27" s="30"/>
      <c r="K27" s="30"/>
      <c r="L27" s="30"/>
      <c r="M27" s="30"/>
      <c r="N27" s="30"/>
      <c r="O27" s="30"/>
      <c r="P27" s="30"/>
      <c r="Q27" s="30"/>
    </row>
    <row r="28" spans="1:17" hidden="1" outlineLevel="3" x14ac:dyDescent="0.3">
      <c r="A28" s="191" t="s">
        <v>23</v>
      </c>
      <c r="B28" s="190">
        <f t="shared" ref="B28:G28" si="6">SUM(B$29:B$38)</f>
        <v>16.97941619561</v>
      </c>
      <c r="C28" s="190">
        <f t="shared" si="6"/>
        <v>30.087463237860003</v>
      </c>
      <c r="D28" s="190">
        <f t="shared" si="6"/>
        <v>59.305881467649996</v>
      </c>
      <c r="E28" s="190">
        <f t="shared" si="6"/>
        <v>82.827989272799996</v>
      </c>
      <c r="F28" s="190">
        <f t="shared" si="6"/>
        <v>123.4850595906</v>
      </c>
      <c r="G28" s="190">
        <f t="shared" si="6"/>
        <v>127.84683503487001</v>
      </c>
      <c r="H28" s="30"/>
      <c r="I28" s="30"/>
      <c r="J28" s="30"/>
      <c r="K28" s="30"/>
      <c r="L28" s="30"/>
      <c r="M28" s="30"/>
      <c r="N28" s="30"/>
      <c r="O28" s="30"/>
      <c r="P28" s="30"/>
      <c r="Q28" s="30"/>
    </row>
    <row r="29" spans="1:17" hidden="1" outlineLevel="4" x14ac:dyDescent="0.3">
      <c r="A29" s="189" t="s">
        <v>24</v>
      </c>
      <c r="B29" s="190">
        <v>2.2672023800000001E-3</v>
      </c>
      <c r="C29" s="190">
        <v>2.13029758E-3</v>
      </c>
      <c r="D29" s="190">
        <v>6.6717266900000001E-3</v>
      </c>
      <c r="E29" s="190">
        <v>1.146224364E-2</v>
      </c>
      <c r="F29" s="190">
        <v>1.1468927590000001E-2</v>
      </c>
      <c r="G29" s="190">
        <v>1.0645447190000001E-2</v>
      </c>
      <c r="H29" s="30"/>
      <c r="I29" s="30"/>
      <c r="J29" s="30"/>
      <c r="K29" s="30"/>
      <c r="L29" s="30"/>
      <c r="M29" s="30"/>
      <c r="N29" s="30"/>
      <c r="O29" s="30"/>
      <c r="P29" s="30"/>
      <c r="Q29" s="30"/>
    </row>
    <row r="30" spans="1:17" hidden="1" outlineLevel="4" x14ac:dyDescent="0.3">
      <c r="A30" s="189" t="s">
        <v>25</v>
      </c>
      <c r="B30" s="190">
        <v>0</v>
      </c>
      <c r="C30" s="190">
        <v>0</v>
      </c>
      <c r="D30" s="190">
        <v>0</v>
      </c>
      <c r="E30" s="190">
        <v>0.12100019522</v>
      </c>
      <c r="F30" s="190">
        <v>0.53948969316999995</v>
      </c>
      <c r="G30" s="190">
        <v>0.59643974599000005</v>
      </c>
      <c r="H30" s="30"/>
      <c r="I30" s="30"/>
      <c r="J30" s="30"/>
      <c r="K30" s="30"/>
      <c r="L30" s="30"/>
      <c r="M30" s="30"/>
      <c r="N30" s="30"/>
      <c r="O30" s="30"/>
      <c r="P30" s="30"/>
      <c r="Q30" s="30"/>
    </row>
    <row r="31" spans="1:17" hidden="1" outlineLevel="4" x14ac:dyDescent="0.3">
      <c r="A31" s="189" t="s">
        <v>26</v>
      </c>
      <c r="B31" s="190">
        <v>0.3863149676</v>
      </c>
      <c r="C31" s="190">
        <v>0.25855498448999997</v>
      </c>
      <c r="D31" s="190">
        <v>0.19374588745999999</v>
      </c>
      <c r="E31" s="190">
        <v>0.10114868791000001</v>
      </c>
      <c r="F31" s="190">
        <v>6.3044279359999997E-2</v>
      </c>
      <c r="G31" s="190">
        <v>6.646053918E-2</v>
      </c>
      <c r="H31" s="30"/>
      <c r="I31" s="30"/>
      <c r="J31" s="30"/>
      <c r="K31" s="30"/>
      <c r="L31" s="30"/>
      <c r="M31" s="30"/>
      <c r="N31" s="30"/>
      <c r="O31" s="30"/>
      <c r="P31" s="30"/>
      <c r="Q31" s="30"/>
    </row>
    <row r="32" spans="1:17" hidden="1" outlineLevel="4" x14ac:dyDescent="0.3">
      <c r="A32" s="189" t="s">
        <v>27</v>
      </c>
      <c r="B32" s="190">
        <v>1.0156447287699999</v>
      </c>
      <c r="C32" s="190">
        <v>2.6833592883700002</v>
      </c>
      <c r="D32" s="190">
        <v>3.0297750091800002</v>
      </c>
      <c r="E32" s="190">
        <v>2.9522925032999998</v>
      </c>
      <c r="F32" s="190">
        <v>3.3614525393500001</v>
      </c>
      <c r="G32" s="190">
        <v>3.2410563487599999</v>
      </c>
      <c r="H32" s="30"/>
      <c r="I32" s="30"/>
      <c r="J32" s="30"/>
      <c r="K32" s="30"/>
      <c r="L32" s="30"/>
      <c r="M32" s="30"/>
      <c r="N32" s="30"/>
      <c r="O32" s="30"/>
      <c r="P32" s="30"/>
      <c r="Q32" s="30"/>
    </row>
    <row r="33" spans="1:17" hidden="1" outlineLevel="4" x14ac:dyDescent="0.3">
      <c r="A33" s="189" t="s">
        <v>28</v>
      </c>
      <c r="B33" s="190">
        <v>4.9991812509700004</v>
      </c>
      <c r="C33" s="190">
        <v>12.366377438580001</v>
      </c>
      <c r="D33" s="190">
        <v>32.904079757950001</v>
      </c>
      <c r="E33" s="190">
        <v>44.012826736069997</v>
      </c>
      <c r="F33" s="190">
        <v>61.366317240180003</v>
      </c>
      <c r="G33" s="190">
        <v>63.543662208740002</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21.307668778739998</v>
      </c>
      <c r="G34" s="190">
        <v>20.89980686501</v>
      </c>
      <c r="H34" s="30"/>
      <c r="I34" s="30"/>
      <c r="J34" s="30"/>
      <c r="K34" s="30"/>
      <c r="L34" s="30"/>
      <c r="M34" s="30"/>
      <c r="N34" s="30"/>
      <c r="O34" s="30"/>
      <c r="P34" s="30"/>
      <c r="Q34" s="30"/>
    </row>
    <row r="35" spans="1:17" hidden="1" outlineLevel="4" x14ac:dyDescent="0.3">
      <c r="A35" s="189" t="s">
        <v>30</v>
      </c>
      <c r="B35" s="190">
        <v>0</v>
      </c>
      <c r="C35" s="190">
        <v>0.57660198080000002</v>
      </c>
      <c r="D35" s="190">
        <v>1.05085771959</v>
      </c>
      <c r="E35" s="190">
        <v>5.7905951672300002</v>
      </c>
      <c r="F35" s="190">
        <v>6.6807060515199996</v>
      </c>
      <c r="G35" s="190">
        <v>6.5922608341400002</v>
      </c>
      <c r="H35" s="30"/>
      <c r="I35" s="30"/>
      <c r="J35" s="30"/>
      <c r="K35" s="30"/>
      <c r="L35" s="30"/>
      <c r="M35" s="30"/>
      <c r="N35" s="30"/>
      <c r="O35" s="30"/>
      <c r="P35" s="30"/>
      <c r="Q35" s="30"/>
    </row>
    <row r="36" spans="1:17" hidden="1" outlineLevel="4" x14ac:dyDescent="0.3">
      <c r="A36" s="189" t="s">
        <v>31</v>
      </c>
      <c r="B36" s="190">
        <v>6.1552473171899997</v>
      </c>
      <c r="C36" s="190">
        <v>7.72193497584</v>
      </c>
      <c r="D36" s="190">
        <v>12.00422151197</v>
      </c>
      <c r="E36" s="190">
        <v>16.17518239755</v>
      </c>
      <c r="F36" s="190">
        <v>16.490269133049999</v>
      </c>
      <c r="G36" s="190">
        <v>18.160870873170001</v>
      </c>
      <c r="H36" s="30"/>
      <c r="I36" s="30"/>
      <c r="J36" s="30"/>
      <c r="K36" s="30"/>
      <c r="L36" s="30"/>
      <c r="M36" s="30"/>
      <c r="N36" s="30"/>
      <c r="O36" s="30"/>
      <c r="P36" s="30"/>
      <c r="Q36" s="30"/>
    </row>
    <row r="37" spans="1:17" hidden="1" outlineLevel="4" x14ac:dyDescent="0.3">
      <c r="A37" s="189" t="s">
        <v>32</v>
      </c>
      <c r="B37" s="190">
        <v>4.3625608583400002</v>
      </c>
      <c r="C37" s="190">
        <v>6.4009203970500002</v>
      </c>
      <c r="D37" s="190">
        <v>10.00235119221</v>
      </c>
      <c r="E37" s="190">
        <v>13.54928616023</v>
      </c>
      <c r="F37" s="190">
        <v>13.560402501</v>
      </c>
      <c r="G37" s="190">
        <v>14.640149653570001</v>
      </c>
      <c r="H37" s="30"/>
      <c r="I37" s="30"/>
      <c r="J37" s="30"/>
      <c r="K37" s="30"/>
      <c r="L37" s="30"/>
      <c r="M37" s="30"/>
      <c r="N37" s="30"/>
      <c r="O37" s="30"/>
      <c r="P37" s="30"/>
      <c r="Q37" s="30"/>
    </row>
    <row r="38" spans="1:17" hidden="1" outlineLevel="4" x14ac:dyDescent="0.3">
      <c r="A38" s="189" t="s">
        <v>33</v>
      </c>
      <c r="B38" s="190">
        <v>5.8199870360000003E-2</v>
      </c>
      <c r="C38" s="190">
        <v>7.7583875149999995E-2</v>
      </c>
      <c r="D38" s="190">
        <v>0.11417866259999999</v>
      </c>
      <c r="E38" s="190">
        <v>0.11419518165</v>
      </c>
      <c r="F38" s="190">
        <v>0.10424044664</v>
      </c>
      <c r="G38" s="190">
        <v>9.5482519119999998E-2</v>
      </c>
      <c r="H38" s="30"/>
      <c r="I38" s="30"/>
      <c r="J38" s="30"/>
      <c r="K38" s="30"/>
      <c r="L38" s="30"/>
      <c r="M38" s="30"/>
      <c r="N38" s="30"/>
      <c r="O38" s="30"/>
      <c r="P38" s="30"/>
      <c r="Q38" s="30"/>
    </row>
    <row r="39" spans="1:17" hidden="1" outlineLevel="3" x14ac:dyDescent="0.3">
      <c r="A39" s="191" t="s">
        <v>34</v>
      </c>
      <c r="B39" s="190">
        <f t="shared" ref="B39:G39" si="7">SUM(B$40:B$49)</f>
        <v>0.88801693534000004</v>
      </c>
      <c r="C39" s="190">
        <f t="shared" si="7"/>
        <v>4.3891608617899998</v>
      </c>
      <c r="D39" s="190">
        <f t="shared" si="7"/>
        <v>6.3176009658999996</v>
      </c>
      <c r="E39" s="190">
        <f t="shared" si="7"/>
        <v>7.6299116025599991</v>
      </c>
      <c r="F39" s="190">
        <f t="shared" si="7"/>
        <v>8.090534922869999</v>
      </c>
      <c r="G39" s="190">
        <f t="shared" si="7"/>
        <v>8.0544491854799993</v>
      </c>
      <c r="H39" s="30"/>
      <c r="I39" s="30"/>
      <c r="J39" s="30"/>
      <c r="K39" s="30"/>
      <c r="L39" s="30"/>
      <c r="M39" s="30"/>
      <c r="N39" s="30"/>
      <c r="O39" s="30"/>
      <c r="P39" s="30"/>
      <c r="Q39" s="30"/>
    </row>
    <row r="40" spans="1:17" hidden="1" outlineLevel="4" x14ac:dyDescent="0.3">
      <c r="A40" s="189" t="s">
        <v>35</v>
      </c>
      <c r="B40" s="190">
        <v>2.0492385960000001E-2</v>
      </c>
      <c r="C40" s="190">
        <v>2.210838918E-2</v>
      </c>
      <c r="D40" s="190">
        <v>2.3454162970000001E-2</v>
      </c>
      <c r="E40" s="190">
        <v>2.3872949189999999E-2</v>
      </c>
      <c r="F40" s="190">
        <v>2.5666994799999999E-2</v>
      </c>
      <c r="G40" s="190">
        <v>2.5834923379999999E-2</v>
      </c>
      <c r="H40" s="30"/>
      <c r="I40" s="30"/>
      <c r="J40" s="30"/>
      <c r="K40" s="30"/>
      <c r="L40" s="30"/>
      <c r="M40" s="30"/>
      <c r="N40" s="30"/>
      <c r="O40" s="30"/>
      <c r="P40" s="30"/>
      <c r="Q40" s="30"/>
    </row>
    <row r="41" spans="1:17" hidden="1" outlineLevel="4" x14ac:dyDescent="0.3">
      <c r="A41" s="189" t="s">
        <v>36</v>
      </c>
      <c r="B41" s="190">
        <v>0</v>
      </c>
      <c r="C41" s="190">
        <v>0.21302975776999999</v>
      </c>
      <c r="D41" s="190">
        <v>0.22224977884</v>
      </c>
      <c r="E41" s="190">
        <v>0.20898023264000001</v>
      </c>
      <c r="F41" s="190">
        <v>0.23523985675</v>
      </c>
      <c r="G41" s="190">
        <v>0.23290602798999999</v>
      </c>
      <c r="H41" s="30"/>
      <c r="I41" s="30"/>
      <c r="J41" s="30"/>
      <c r="K41" s="30"/>
      <c r="L41" s="30"/>
      <c r="M41" s="30"/>
      <c r="N41" s="30"/>
      <c r="O41" s="30"/>
      <c r="P41" s="30"/>
      <c r="Q41" s="30"/>
    </row>
    <row r="42" spans="1:17" hidden="1" outlineLevel="4" x14ac:dyDescent="0.3">
      <c r="A42" s="189" t="s">
        <v>37</v>
      </c>
      <c r="B42" s="190">
        <v>0</v>
      </c>
      <c r="C42" s="190">
        <v>1.8276825705999999</v>
      </c>
      <c r="D42" s="190">
        <v>3.6820325010000001</v>
      </c>
      <c r="E42" s="190">
        <v>5.0846934205799998</v>
      </c>
      <c r="F42" s="190">
        <v>5.31800980547</v>
      </c>
      <c r="G42" s="190">
        <v>5.2664139310899998</v>
      </c>
      <c r="H42" s="30"/>
      <c r="I42" s="30"/>
      <c r="J42" s="30"/>
      <c r="K42" s="30"/>
      <c r="L42" s="30"/>
      <c r="M42" s="30"/>
      <c r="N42" s="30"/>
      <c r="O42" s="30"/>
      <c r="P42" s="30"/>
      <c r="Q42" s="30"/>
    </row>
    <row r="43" spans="1:17" hidden="1" outlineLevel="4" x14ac:dyDescent="0.3">
      <c r="A43" s="189" t="s">
        <v>38</v>
      </c>
      <c r="B43" s="190">
        <v>0</v>
      </c>
      <c r="C43" s="190">
        <v>0.21302975776999999</v>
      </c>
      <c r="D43" s="190">
        <v>0.22224977884</v>
      </c>
      <c r="E43" s="190">
        <v>0.20898023264000001</v>
      </c>
      <c r="F43" s="190">
        <v>0.23523985675</v>
      </c>
      <c r="G43" s="190">
        <v>0.23290602798999999</v>
      </c>
      <c r="H43" s="30"/>
      <c r="I43" s="30"/>
      <c r="J43" s="30"/>
      <c r="K43" s="30"/>
      <c r="L43" s="30"/>
      <c r="M43" s="30"/>
      <c r="N43" s="30"/>
      <c r="O43" s="30"/>
      <c r="P43" s="30"/>
      <c r="Q43" s="30"/>
    </row>
    <row r="44" spans="1:17" hidden="1" outlineLevel="4" x14ac:dyDescent="0.3">
      <c r="A44" s="189" t="s">
        <v>39</v>
      </c>
      <c r="B44" s="190">
        <v>0.28670076286000001</v>
      </c>
      <c r="C44" s="190">
        <v>0.58684537884999999</v>
      </c>
      <c r="D44" s="190">
        <v>0.62447708832000004</v>
      </c>
      <c r="E44" s="190">
        <v>0.58744407237999996</v>
      </c>
      <c r="F44" s="190">
        <v>0.66596793425</v>
      </c>
      <c r="G44" s="190">
        <v>0.66239069313999999</v>
      </c>
      <c r="H44" s="30"/>
      <c r="I44" s="30"/>
      <c r="J44" s="30"/>
      <c r="K44" s="30"/>
      <c r="L44" s="30"/>
      <c r="M44" s="30"/>
      <c r="N44" s="30"/>
      <c r="O44" s="30"/>
      <c r="P44" s="30"/>
      <c r="Q44" s="30"/>
    </row>
    <row r="45" spans="1:17" hidden="1" outlineLevel="4" x14ac:dyDescent="0.3">
      <c r="A45" s="189" t="s">
        <v>40</v>
      </c>
      <c r="B45" s="190">
        <v>4.1845500289999997E-2</v>
      </c>
      <c r="C45" s="190">
        <v>5.3056445690000002E-2</v>
      </c>
      <c r="D45" s="190">
        <v>9.6949115109999998E-2</v>
      </c>
      <c r="E45" s="190">
        <v>0.10378189140999999</v>
      </c>
      <c r="F45" s="190">
        <v>0.13180856229999999</v>
      </c>
      <c r="G45" s="190">
        <v>0.14144776754999999</v>
      </c>
      <c r="H45" s="30"/>
      <c r="I45" s="30"/>
      <c r="J45" s="30"/>
      <c r="K45" s="30"/>
      <c r="L45" s="30"/>
      <c r="M45" s="30"/>
      <c r="N45" s="30"/>
      <c r="O45" s="30"/>
      <c r="P45" s="30"/>
      <c r="Q45" s="30"/>
    </row>
    <row r="46" spans="1:17" hidden="1" outlineLevel="4" x14ac:dyDescent="0.3">
      <c r="A46" s="189" t="s">
        <v>41</v>
      </c>
      <c r="B46" s="190">
        <v>0</v>
      </c>
      <c r="C46" s="190">
        <v>0</v>
      </c>
      <c r="D46" s="190">
        <v>0</v>
      </c>
      <c r="E46" s="190">
        <v>0.1</v>
      </c>
      <c r="F46" s="190">
        <v>0.1</v>
      </c>
      <c r="G46" s="190">
        <v>0.1</v>
      </c>
      <c r="H46" s="30"/>
      <c r="I46" s="30"/>
      <c r="J46" s="30"/>
      <c r="K46" s="30"/>
      <c r="L46" s="30"/>
      <c r="M46" s="30"/>
      <c r="N46" s="30"/>
      <c r="O46" s="30"/>
      <c r="P46" s="30"/>
      <c r="Q46" s="30"/>
    </row>
    <row r="47" spans="1:17" hidden="1" outlineLevel="4" x14ac:dyDescent="0.3">
      <c r="A47" s="189" t="s">
        <v>42</v>
      </c>
      <c r="B47" s="190">
        <v>4.7255449999999998E-4</v>
      </c>
      <c r="C47" s="190">
        <v>4.7255449999999998E-4</v>
      </c>
      <c r="D47" s="190">
        <v>4.7255449999999998E-4</v>
      </c>
      <c r="E47" s="190">
        <v>5.1251526E-4</v>
      </c>
      <c r="F47" s="190">
        <v>5.1251526E-4</v>
      </c>
      <c r="G47" s="190">
        <v>5.1251526E-4</v>
      </c>
      <c r="H47" s="30"/>
      <c r="I47" s="30"/>
      <c r="J47" s="30"/>
      <c r="K47" s="30"/>
      <c r="L47" s="30"/>
      <c r="M47" s="30"/>
      <c r="N47" s="30"/>
      <c r="O47" s="30"/>
      <c r="P47" s="30"/>
      <c r="Q47" s="30"/>
    </row>
    <row r="48" spans="1:17" hidden="1" outlineLevel="4" x14ac:dyDescent="0.3">
      <c r="A48" s="189" t="s">
        <v>43</v>
      </c>
      <c r="B48" s="190">
        <v>3.9693692959999999E-2</v>
      </c>
      <c r="C48" s="190">
        <v>0.47501825474999998</v>
      </c>
      <c r="D48" s="190">
        <v>0.4994446609</v>
      </c>
      <c r="E48" s="190">
        <v>0.46506189307000001</v>
      </c>
      <c r="F48" s="190">
        <v>0.52289665883000003</v>
      </c>
      <c r="G48" s="190">
        <v>0.54694320029999999</v>
      </c>
      <c r="H48" s="30"/>
      <c r="I48" s="30"/>
      <c r="J48" s="30"/>
      <c r="K48" s="30"/>
      <c r="L48" s="30"/>
      <c r="M48" s="30"/>
      <c r="N48" s="30"/>
      <c r="O48" s="30"/>
      <c r="P48" s="30"/>
      <c r="Q48" s="30"/>
    </row>
    <row r="49" spans="1:17" ht="24.75" hidden="1" customHeight="1" outlineLevel="4" x14ac:dyDescent="0.3">
      <c r="A49" s="189" t="s">
        <v>44</v>
      </c>
      <c r="B49" s="190">
        <v>0.49881203877000002</v>
      </c>
      <c r="C49" s="190">
        <v>0.99791775268000005</v>
      </c>
      <c r="D49" s="190">
        <v>0.94627132542000003</v>
      </c>
      <c r="E49" s="190">
        <v>0.84658439538999997</v>
      </c>
      <c r="F49" s="190">
        <v>0.85519273845999999</v>
      </c>
      <c r="G49" s="190">
        <v>0.84509409877999997</v>
      </c>
      <c r="H49" s="30"/>
      <c r="I49" s="30"/>
      <c r="J49" s="30"/>
      <c r="K49" s="30"/>
      <c r="L49" s="30"/>
      <c r="M49" s="30"/>
      <c r="N49" s="30"/>
      <c r="O49" s="30"/>
      <c r="P49" s="30"/>
      <c r="Q49" s="30"/>
    </row>
    <row r="50" spans="1:17" hidden="1" outlineLevel="3" x14ac:dyDescent="0.3">
      <c r="A50" s="191" t="s">
        <v>45</v>
      </c>
      <c r="B50" s="190">
        <f t="shared" ref="B50:G50" si="8">SUM(B$51:B$51)</f>
        <v>0.60585586000000002</v>
      </c>
      <c r="C50" s="190">
        <f t="shared" si="8"/>
        <v>0.60585586000000002</v>
      </c>
      <c r="D50" s="190">
        <f t="shared" si="8"/>
        <v>0.60585586000000002</v>
      </c>
      <c r="E50" s="190">
        <f t="shared" si="8"/>
        <v>0.60585586000000002</v>
      </c>
      <c r="F50" s="190">
        <f t="shared" si="8"/>
        <v>0.60585586000000002</v>
      </c>
      <c r="G50" s="190">
        <f t="shared" si="8"/>
        <v>0.60585586000000002</v>
      </c>
      <c r="H50" s="30"/>
      <c r="I50" s="30"/>
      <c r="J50" s="30"/>
      <c r="K50" s="30"/>
      <c r="L50" s="30"/>
      <c r="M50" s="30"/>
      <c r="N50" s="30"/>
      <c r="O50" s="30"/>
      <c r="P50" s="30"/>
      <c r="Q50" s="30"/>
    </row>
    <row r="51" spans="1:17" hidden="1" outlineLevel="4" x14ac:dyDescent="0.3">
      <c r="A51" s="189" t="s">
        <v>46</v>
      </c>
      <c r="B51" s="190">
        <v>0.60585586000000002</v>
      </c>
      <c r="C51" s="190">
        <v>0.60585586000000002</v>
      </c>
      <c r="D51" s="190">
        <v>0.60585586000000002</v>
      </c>
      <c r="E51" s="190">
        <v>0.60585586000000002</v>
      </c>
      <c r="F51" s="190">
        <v>0.60585586000000002</v>
      </c>
      <c r="G51" s="190">
        <v>0.60585586000000002</v>
      </c>
      <c r="H51" s="30"/>
      <c r="I51" s="30"/>
      <c r="J51" s="30"/>
      <c r="K51" s="30"/>
      <c r="L51" s="30"/>
      <c r="M51" s="30"/>
      <c r="N51" s="30"/>
      <c r="O51" s="30"/>
      <c r="P51" s="30"/>
      <c r="Q51" s="30"/>
    </row>
    <row r="52" spans="1:17" hidden="1" outlineLevel="3" x14ac:dyDescent="0.3">
      <c r="A52" s="191" t="s">
        <v>47</v>
      </c>
      <c r="B52" s="190">
        <f t="shared" ref="B52:G52" si="9">SUM(B$53:B$58)</f>
        <v>1.8600623522399999</v>
      </c>
      <c r="C52" s="190">
        <f t="shared" si="9"/>
        <v>1.6511306157100001</v>
      </c>
      <c r="D52" s="190">
        <f t="shared" si="9"/>
        <v>1.56620920958</v>
      </c>
      <c r="E52" s="190">
        <f t="shared" si="9"/>
        <v>1.4786194744199999</v>
      </c>
      <c r="F52" s="190">
        <f t="shared" si="9"/>
        <v>2.1403457080400003</v>
      </c>
      <c r="G52" s="190">
        <f t="shared" si="9"/>
        <v>2.2171012581099996</v>
      </c>
      <c r="H52" s="30"/>
      <c r="I52" s="30"/>
      <c r="J52" s="30"/>
      <c r="K52" s="30"/>
      <c r="L52" s="30"/>
      <c r="M52" s="30"/>
      <c r="N52" s="30"/>
      <c r="O52" s="30"/>
      <c r="P52" s="30"/>
      <c r="Q52" s="30"/>
    </row>
    <row r="53" spans="1:17" hidden="1" outlineLevel="4" x14ac:dyDescent="0.3">
      <c r="A53" s="189" t="s">
        <v>48</v>
      </c>
      <c r="B53" s="190">
        <v>0.73684077395000003</v>
      </c>
      <c r="C53" s="190">
        <v>0.69234671275000004</v>
      </c>
      <c r="D53" s="190">
        <v>0.72231178122999995</v>
      </c>
      <c r="E53" s="190">
        <v>0.67918575608999998</v>
      </c>
      <c r="F53" s="190">
        <v>0.76452953451000005</v>
      </c>
      <c r="G53" s="190">
        <v>0.75694459099</v>
      </c>
      <c r="H53" s="30"/>
      <c r="I53" s="30"/>
      <c r="J53" s="30"/>
      <c r="K53" s="30"/>
      <c r="L53" s="30"/>
      <c r="M53" s="30"/>
      <c r="N53" s="30"/>
      <c r="O53" s="30"/>
      <c r="P53" s="30"/>
      <c r="Q53" s="30"/>
    </row>
    <row r="54" spans="1:17" hidden="1" outlineLevel="4" x14ac:dyDescent="0.3">
      <c r="A54" s="189" t="s">
        <v>49</v>
      </c>
      <c r="B54" s="190">
        <v>5.7960120000000002E-5</v>
      </c>
      <c r="C54" s="190">
        <v>5.4460209999999998E-5</v>
      </c>
      <c r="D54" s="190">
        <v>5.681727E-5</v>
      </c>
      <c r="E54" s="190">
        <v>5.3424960000000002E-5</v>
      </c>
      <c r="F54" s="190">
        <v>6.0138130000000002E-5</v>
      </c>
      <c r="G54" s="190">
        <v>5.9541489999999998E-5</v>
      </c>
      <c r="H54" s="30"/>
      <c r="I54" s="30"/>
      <c r="J54" s="30"/>
      <c r="K54" s="30"/>
      <c r="L54" s="30"/>
      <c r="M54" s="30"/>
      <c r="N54" s="30"/>
      <c r="O54" s="30"/>
      <c r="P54" s="30"/>
      <c r="Q54" s="30"/>
    </row>
    <row r="55" spans="1:17" hidden="1" outlineLevel="4" x14ac:dyDescent="0.3">
      <c r="A55" s="189" t="s">
        <v>50</v>
      </c>
      <c r="B55" s="190">
        <v>0</v>
      </c>
      <c r="C55" s="190">
        <v>0</v>
      </c>
      <c r="D55" s="190">
        <v>4.3185847999999997E-3</v>
      </c>
      <c r="E55" s="190">
        <v>6.7086455600000004E-3</v>
      </c>
      <c r="F55" s="190">
        <v>0.64078381520000005</v>
      </c>
      <c r="G55" s="190">
        <v>0.82491232078999999</v>
      </c>
      <c r="H55" s="30"/>
      <c r="I55" s="30"/>
      <c r="J55" s="30"/>
      <c r="K55" s="30"/>
      <c r="L55" s="30"/>
      <c r="M55" s="30"/>
      <c r="N55" s="30"/>
      <c r="O55" s="30"/>
      <c r="P55" s="30"/>
      <c r="Q55" s="30"/>
    </row>
    <row r="56" spans="1:17" hidden="1" outlineLevel="4" x14ac:dyDescent="0.3">
      <c r="A56" s="189" t="s">
        <v>51</v>
      </c>
      <c r="B56" s="190">
        <v>0.29744124965000002</v>
      </c>
      <c r="C56" s="190">
        <v>0.30348476916</v>
      </c>
      <c r="D56" s="190">
        <v>0.2708811217</v>
      </c>
      <c r="E56" s="190">
        <v>0.19288559186000001</v>
      </c>
      <c r="F56" s="190">
        <v>0.17184045173000001</v>
      </c>
      <c r="G56" s="190">
        <v>0.13872094767000001</v>
      </c>
      <c r="H56" s="30"/>
      <c r="I56" s="30"/>
      <c r="J56" s="30"/>
      <c r="K56" s="30"/>
      <c r="L56" s="30"/>
      <c r="M56" s="30"/>
      <c r="N56" s="30"/>
      <c r="O56" s="30"/>
      <c r="P56" s="30"/>
      <c r="Q56" s="30"/>
    </row>
    <row r="57" spans="1:17" hidden="1" outlineLevel="4" x14ac:dyDescent="0.3">
      <c r="A57" s="189" t="s">
        <v>52</v>
      </c>
      <c r="B57" s="190">
        <v>0.82572236852000003</v>
      </c>
      <c r="C57" s="190">
        <v>0.65524467359000005</v>
      </c>
      <c r="D57" s="190">
        <v>0.56864090458000005</v>
      </c>
      <c r="E57" s="190">
        <v>0.43278562789000002</v>
      </c>
      <c r="F57" s="190">
        <v>0.37245860745999998</v>
      </c>
      <c r="G57" s="190">
        <v>0.28392775829</v>
      </c>
      <c r="H57" s="30"/>
      <c r="I57" s="30"/>
      <c r="J57" s="30"/>
      <c r="K57" s="30"/>
      <c r="L57" s="30"/>
      <c r="M57" s="30"/>
      <c r="N57" s="30"/>
      <c r="O57" s="30"/>
      <c r="P57" s="30"/>
      <c r="Q57" s="30"/>
    </row>
    <row r="58" spans="1:17" hidden="1" outlineLevel="4" x14ac:dyDescent="0.3">
      <c r="A58" s="189" t="s">
        <v>53</v>
      </c>
      <c r="B58" s="190">
        <v>0</v>
      </c>
      <c r="C58" s="190">
        <v>0</v>
      </c>
      <c r="D58" s="190">
        <v>0</v>
      </c>
      <c r="E58" s="190">
        <v>0.16700042806000001</v>
      </c>
      <c r="F58" s="190">
        <v>0.19067316101000001</v>
      </c>
      <c r="G58" s="190">
        <v>0.21253609888</v>
      </c>
      <c r="H58" s="30"/>
      <c r="I58" s="30"/>
      <c r="J58" s="30"/>
      <c r="K58" s="30"/>
      <c r="L58" s="30"/>
      <c r="M58" s="30"/>
      <c r="N58" s="30"/>
      <c r="O58" s="30"/>
      <c r="P58" s="30"/>
      <c r="Q58" s="30"/>
    </row>
    <row r="59" spans="1:17" hidden="1" outlineLevel="3" x14ac:dyDescent="0.3">
      <c r="A59" s="191" t="s">
        <v>54</v>
      </c>
      <c r="B59" s="190">
        <f t="shared" ref="B59:G59" si="10">SUM(B$60:B$67)</f>
        <v>19.912232679059997</v>
      </c>
      <c r="C59" s="190">
        <f t="shared" si="10"/>
        <v>19.657214774909999</v>
      </c>
      <c r="D59" s="190">
        <f t="shared" si="10"/>
        <v>19.760940011999999</v>
      </c>
      <c r="E59" s="190">
        <f t="shared" si="10"/>
        <v>15.219165084</v>
      </c>
      <c r="F59" s="190">
        <f t="shared" si="10"/>
        <v>18.750640004000001</v>
      </c>
      <c r="G59" s="190">
        <f t="shared" si="10"/>
        <v>18.750640004000001</v>
      </c>
      <c r="H59" s="30"/>
      <c r="I59" s="30"/>
      <c r="J59" s="30"/>
      <c r="K59" s="30"/>
      <c r="L59" s="30"/>
      <c r="M59" s="30"/>
      <c r="N59" s="30"/>
      <c r="O59" s="30"/>
      <c r="P59" s="30"/>
      <c r="Q59" s="30"/>
    </row>
    <row r="60" spans="1:17" hidden="1" outlineLevel="4" x14ac:dyDescent="0.3">
      <c r="A60" s="189" t="s">
        <v>55</v>
      </c>
      <c r="B60" s="190">
        <v>7.6616299999999997</v>
      </c>
      <c r="C60" s="190">
        <v>7.5606299999999997</v>
      </c>
      <c r="D60" s="190">
        <v>7.5606299999999997</v>
      </c>
      <c r="E60" s="190">
        <v>0</v>
      </c>
      <c r="F60" s="190">
        <v>0</v>
      </c>
      <c r="G60" s="190">
        <v>0</v>
      </c>
      <c r="H60" s="30"/>
      <c r="I60" s="30"/>
      <c r="J60" s="30"/>
      <c r="K60" s="30"/>
      <c r="L60" s="30"/>
      <c r="M60" s="30"/>
      <c r="N60" s="30"/>
      <c r="O60" s="30"/>
      <c r="P60" s="30"/>
      <c r="Q60" s="30"/>
    </row>
    <row r="61" spans="1:17" hidden="1" outlineLevel="4" x14ac:dyDescent="0.3">
      <c r="A61" s="189" t="s">
        <v>56</v>
      </c>
      <c r="B61" s="190">
        <v>3</v>
      </c>
      <c r="C61" s="190">
        <v>3</v>
      </c>
      <c r="D61" s="190">
        <v>3</v>
      </c>
      <c r="E61" s="190">
        <v>0</v>
      </c>
      <c r="F61" s="190">
        <v>0</v>
      </c>
      <c r="G61" s="190">
        <v>0</v>
      </c>
      <c r="H61" s="30"/>
      <c r="I61" s="30"/>
      <c r="J61" s="30"/>
      <c r="K61" s="30"/>
      <c r="L61" s="30"/>
      <c r="M61" s="30"/>
      <c r="N61" s="30"/>
      <c r="O61" s="30"/>
      <c r="P61" s="30"/>
      <c r="Q61" s="30"/>
    </row>
    <row r="62" spans="1:17" hidden="1" outlineLevel="4" x14ac:dyDescent="0.3">
      <c r="A62" s="189" t="s">
        <v>57</v>
      </c>
      <c r="B62" s="190">
        <v>2.35</v>
      </c>
      <c r="C62" s="190">
        <v>2.35</v>
      </c>
      <c r="D62" s="190">
        <v>2.35</v>
      </c>
      <c r="E62" s="190">
        <v>0</v>
      </c>
      <c r="F62" s="190">
        <v>0</v>
      </c>
      <c r="G62" s="190">
        <v>0</v>
      </c>
      <c r="H62" s="30"/>
      <c r="I62" s="30"/>
      <c r="J62" s="30"/>
      <c r="K62" s="30"/>
      <c r="L62" s="30"/>
      <c r="M62" s="30"/>
      <c r="N62" s="30"/>
      <c r="O62" s="30"/>
      <c r="P62" s="30"/>
      <c r="Q62" s="30"/>
    </row>
    <row r="63" spans="1:17" hidden="1" outlineLevel="4" x14ac:dyDescent="0.3">
      <c r="A63" s="189" t="s">
        <v>58</v>
      </c>
      <c r="B63" s="190">
        <v>1.1336011906900001</v>
      </c>
      <c r="C63" s="190">
        <v>1.06514878885</v>
      </c>
      <c r="D63" s="190">
        <v>1.1112488942200001</v>
      </c>
      <c r="E63" s="190">
        <v>0</v>
      </c>
      <c r="F63" s="190">
        <v>0</v>
      </c>
      <c r="G63" s="190">
        <v>0</v>
      </c>
      <c r="H63" s="30"/>
      <c r="I63" s="30"/>
      <c r="J63" s="30"/>
      <c r="K63" s="30"/>
      <c r="L63" s="30"/>
      <c r="M63" s="30"/>
      <c r="N63" s="30"/>
      <c r="O63" s="30"/>
      <c r="P63" s="30"/>
      <c r="Q63" s="30"/>
    </row>
    <row r="64" spans="1:17" hidden="1" outlineLevel="4" x14ac:dyDescent="0.3">
      <c r="A64" s="189" t="s">
        <v>59</v>
      </c>
      <c r="B64" s="190">
        <v>4.01700148837</v>
      </c>
      <c r="C64" s="190">
        <v>3.9314359860599999</v>
      </c>
      <c r="D64" s="190">
        <v>3.9890611177799999</v>
      </c>
      <c r="E64" s="190">
        <v>0</v>
      </c>
      <c r="F64" s="190">
        <v>0</v>
      </c>
      <c r="G64" s="190">
        <v>0</v>
      </c>
      <c r="H64" s="30"/>
      <c r="I64" s="30"/>
      <c r="J64" s="30"/>
      <c r="K64" s="30"/>
      <c r="L64" s="30"/>
      <c r="M64" s="30"/>
      <c r="N64" s="30"/>
      <c r="O64" s="30"/>
      <c r="P64" s="30"/>
      <c r="Q64" s="30"/>
    </row>
    <row r="65" spans="1:17" hidden="1" outlineLevel="4" x14ac:dyDescent="0.3">
      <c r="A65" s="189" t="s">
        <v>60</v>
      </c>
      <c r="B65" s="190">
        <v>1.75</v>
      </c>
      <c r="C65" s="190">
        <v>1.75</v>
      </c>
      <c r="D65" s="190">
        <v>1.75</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15.219165084</v>
      </c>
      <c r="F66" s="190">
        <v>15.252974684</v>
      </c>
      <c r="G66" s="190">
        <v>15.252974684</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3.4976653199999999</v>
      </c>
      <c r="G67" s="190">
        <v>3.4976653199999999</v>
      </c>
      <c r="H67" s="30"/>
      <c r="I67" s="30"/>
      <c r="J67" s="30"/>
      <c r="K67" s="30"/>
      <c r="L67" s="30"/>
      <c r="M67" s="30"/>
      <c r="N67" s="30"/>
      <c r="O67" s="30"/>
      <c r="P67" s="30"/>
      <c r="Q67" s="30"/>
    </row>
    <row r="68" spans="1:17" hidden="1" outlineLevel="3" x14ac:dyDescent="0.3">
      <c r="A68" s="191" t="s">
        <v>63</v>
      </c>
      <c r="B68" s="190">
        <f t="shared" ref="B68:G68" si="11">SUM(B$69:B$69)</f>
        <v>3</v>
      </c>
      <c r="C68" s="190">
        <f t="shared" si="11"/>
        <v>3</v>
      </c>
      <c r="D68" s="190">
        <f t="shared" si="11"/>
        <v>3</v>
      </c>
      <c r="E68" s="190">
        <f t="shared" si="11"/>
        <v>3</v>
      </c>
      <c r="F68" s="190">
        <f t="shared" si="11"/>
        <v>3</v>
      </c>
      <c r="G68" s="190">
        <f t="shared" si="11"/>
        <v>3</v>
      </c>
      <c r="H68" s="30"/>
      <c r="I68" s="30"/>
      <c r="J68" s="30"/>
      <c r="K68" s="30"/>
      <c r="L68" s="30"/>
      <c r="M68" s="30"/>
      <c r="N68" s="30"/>
      <c r="O68" s="30"/>
      <c r="P68" s="30"/>
      <c r="Q68" s="30"/>
    </row>
    <row r="69" spans="1:17" hidden="1" outlineLevel="4" x14ac:dyDescent="0.3">
      <c r="A69" s="189" t="s">
        <v>64</v>
      </c>
      <c r="B69" s="190">
        <v>3</v>
      </c>
      <c r="C69" s="190">
        <v>3</v>
      </c>
      <c r="D69" s="190">
        <v>3</v>
      </c>
      <c r="E69" s="190">
        <v>3</v>
      </c>
      <c r="F69" s="190">
        <v>3</v>
      </c>
      <c r="G69" s="190">
        <v>3</v>
      </c>
      <c r="H69" s="30"/>
      <c r="I69" s="30"/>
      <c r="J69" s="30"/>
      <c r="K69" s="30"/>
      <c r="L69" s="30"/>
      <c r="M69" s="30"/>
      <c r="N69" s="30"/>
      <c r="O69" s="30"/>
      <c r="P69" s="30"/>
      <c r="Q69" s="30"/>
    </row>
    <row r="70" spans="1:17" hidden="1" outlineLevel="3" x14ac:dyDescent="0.3">
      <c r="A70" s="191" t="s">
        <v>65</v>
      </c>
      <c r="B70" s="190">
        <f t="shared" ref="B70:G70" si="12">SUM(B$71:B$71)</f>
        <v>4.4174258540500002</v>
      </c>
      <c r="C70" s="190">
        <f t="shared" si="12"/>
        <v>4.2004354421199999</v>
      </c>
      <c r="D70" s="190">
        <f t="shared" si="12"/>
        <v>4.2346040658300002</v>
      </c>
      <c r="E70" s="190">
        <f t="shared" si="12"/>
        <v>4.1161355888799998</v>
      </c>
      <c r="F70" s="190">
        <f t="shared" si="12"/>
        <v>4.3224518968499996</v>
      </c>
      <c r="G70" s="190">
        <f t="shared" si="12"/>
        <v>4.3204756708399996</v>
      </c>
      <c r="H70" s="30"/>
      <c r="I70" s="30"/>
      <c r="J70" s="30"/>
      <c r="K70" s="30"/>
      <c r="L70" s="30"/>
      <c r="M70" s="30"/>
      <c r="N70" s="30"/>
      <c r="O70" s="30"/>
      <c r="P70" s="30"/>
      <c r="Q70" s="30"/>
    </row>
    <row r="71" spans="1:17" hidden="1" outlineLevel="4" x14ac:dyDescent="0.3">
      <c r="A71" s="189" t="s">
        <v>32</v>
      </c>
      <c r="B71" s="190">
        <v>4.4174258540500002</v>
      </c>
      <c r="C71" s="190">
        <v>4.2004354421199999</v>
      </c>
      <c r="D71" s="190">
        <v>4.2346040658300002</v>
      </c>
      <c r="E71" s="190">
        <v>4.1161355888799998</v>
      </c>
      <c r="F71" s="190">
        <v>4.3224518968499996</v>
      </c>
      <c r="G71" s="190">
        <v>4.3204756708399996</v>
      </c>
      <c r="H71" s="30"/>
      <c r="I71" s="30"/>
      <c r="J71" s="30"/>
      <c r="K71" s="30"/>
      <c r="L71" s="30"/>
      <c r="M71" s="30"/>
      <c r="N71" s="30"/>
      <c r="O71" s="30"/>
      <c r="P71" s="30"/>
      <c r="Q71" s="30"/>
    </row>
    <row r="72" spans="1:17" ht="14.4" outlineLevel="1" x14ac:dyDescent="0.3">
      <c r="A72" s="202" t="s">
        <v>2</v>
      </c>
      <c r="B72" s="203">
        <f t="shared" ref="B72:G72" si="13">B$73+B$91</f>
        <v>11.340186286440002</v>
      </c>
      <c r="C72" s="203">
        <f t="shared" si="13"/>
        <v>9.8563851605699995</v>
      </c>
      <c r="D72" s="203">
        <f t="shared" si="13"/>
        <v>8.7289038365499998</v>
      </c>
      <c r="E72" s="203">
        <f t="shared" si="13"/>
        <v>6.8629393971300008</v>
      </c>
      <c r="F72" s="203">
        <f t="shared" si="13"/>
        <v>6.5274206810599997</v>
      </c>
      <c r="G72" s="203">
        <f t="shared" si="13"/>
        <v>5.7869695863799997</v>
      </c>
      <c r="H72" s="30"/>
      <c r="I72" s="30"/>
      <c r="J72" s="30"/>
      <c r="K72" s="30"/>
      <c r="L72" s="30"/>
      <c r="M72" s="30"/>
      <c r="N72" s="30"/>
      <c r="O72" s="30"/>
      <c r="P72" s="30"/>
      <c r="Q72" s="30"/>
    </row>
    <row r="73" spans="1:17" ht="14.4" outlineLevel="2" collapsed="1" x14ac:dyDescent="0.3">
      <c r="A73" s="200" t="s">
        <v>3</v>
      </c>
      <c r="B73" s="201">
        <f t="shared" ref="B73:G73" si="14">B$74+B$81+B$89</f>
        <v>1.7977295609399999</v>
      </c>
      <c r="C73" s="201">
        <f t="shared" si="14"/>
        <v>1.9743148852600001</v>
      </c>
      <c r="D73" s="201">
        <f t="shared" si="14"/>
        <v>1.8113315413799997</v>
      </c>
      <c r="E73" s="201">
        <f t="shared" si="14"/>
        <v>1.6498361975499998</v>
      </c>
      <c r="F73" s="201">
        <f t="shared" si="14"/>
        <v>1.5168140162499999</v>
      </c>
      <c r="G73" s="201">
        <f t="shared" si="14"/>
        <v>1.3874904941999999</v>
      </c>
      <c r="H73" s="30"/>
      <c r="I73" s="30"/>
      <c r="J73" s="30"/>
      <c r="K73" s="30"/>
      <c r="L73" s="30"/>
      <c r="M73" s="30"/>
      <c r="N73" s="30"/>
      <c r="O73" s="30"/>
      <c r="P73" s="30"/>
      <c r="Q73" s="30"/>
    </row>
    <row r="74" spans="1:17" hidden="1" outlineLevel="3" x14ac:dyDescent="0.3">
      <c r="A74" s="191" t="s">
        <v>4</v>
      </c>
      <c r="B74" s="190">
        <f t="shared" ref="B74:G74" si="15">SUM(B$75:B$80)</f>
        <v>0.62058407813000005</v>
      </c>
      <c r="C74" s="190">
        <f t="shared" si="15"/>
        <v>0.32397785532000001</v>
      </c>
      <c r="D74" s="190">
        <f t="shared" si="15"/>
        <v>0.2099659737</v>
      </c>
      <c r="E74" s="190">
        <f t="shared" si="15"/>
        <v>0.10644904969000001</v>
      </c>
      <c r="F74" s="190">
        <f t="shared" si="15"/>
        <v>5.8389715910000001E-2</v>
      </c>
      <c r="G74" s="190">
        <f t="shared" si="15"/>
        <v>5.5555192419999996E-2</v>
      </c>
      <c r="H74" s="30"/>
      <c r="I74" s="30"/>
      <c r="J74" s="30"/>
      <c r="K74" s="30"/>
      <c r="L74" s="30"/>
      <c r="M74" s="30"/>
      <c r="N74" s="30"/>
      <c r="O74" s="30"/>
      <c r="P74" s="30"/>
      <c r="Q74" s="30"/>
    </row>
    <row r="75" spans="1:17" hidden="1" outlineLevel="4" x14ac:dyDescent="0.3">
      <c r="A75" s="189" t="s">
        <v>66</v>
      </c>
      <c r="B75" s="190">
        <v>4.2525000000000003E-7</v>
      </c>
      <c r="C75" s="190">
        <v>3.1721000000000002E-7</v>
      </c>
      <c r="D75" s="190">
        <v>3.0540000000000002E-7</v>
      </c>
      <c r="E75" s="190">
        <v>2.7593000000000001E-7</v>
      </c>
      <c r="F75" s="190">
        <v>2.7365999999999998E-7</v>
      </c>
      <c r="G75" s="190">
        <v>2.6038000000000001E-7</v>
      </c>
      <c r="H75" s="30"/>
      <c r="I75" s="30"/>
      <c r="J75" s="30"/>
      <c r="K75" s="30"/>
      <c r="L75" s="30"/>
      <c r="M75" s="30"/>
      <c r="N75" s="30"/>
      <c r="O75" s="30"/>
      <c r="P75" s="30"/>
      <c r="Q75" s="30"/>
    </row>
    <row r="76" spans="1:17" hidden="1" outlineLevel="4" x14ac:dyDescent="0.3">
      <c r="A76" s="189" t="s">
        <v>67</v>
      </c>
      <c r="B76" s="190">
        <v>0.12739110351999999</v>
      </c>
      <c r="C76" s="190">
        <v>9.5026880990000007E-2</v>
      </c>
      <c r="D76" s="190">
        <v>6.5161759129999997E-2</v>
      </c>
      <c r="E76" s="190">
        <v>5.8873902810000003E-2</v>
      </c>
      <c r="F76" s="190">
        <v>5.838944225E-2</v>
      </c>
      <c r="G76" s="190">
        <v>5.5554932039999998E-2</v>
      </c>
      <c r="H76" s="30"/>
      <c r="I76" s="30"/>
      <c r="J76" s="30"/>
      <c r="K76" s="30"/>
      <c r="L76" s="30"/>
      <c r="M76" s="30"/>
      <c r="N76" s="30"/>
      <c r="O76" s="30"/>
      <c r="P76" s="30"/>
      <c r="Q76" s="30"/>
    </row>
    <row r="77" spans="1:17" hidden="1" outlineLevel="4" x14ac:dyDescent="0.3">
      <c r="A77" s="189" t="s">
        <v>68</v>
      </c>
      <c r="B77" s="190">
        <v>0.18626595596000001</v>
      </c>
      <c r="C77" s="190">
        <v>0</v>
      </c>
      <c r="D77" s="190">
        <v>0</v>
      </c>
      <c r="E77" s="190">
        <v>0</v>
      </c>
      <c r="F77" s="190">
        <v>0</v>
      </c>
      <c r="G77" s="190">
        <v>0</v>
      </c>
      <c r="H77" s="30"/>
      <c r="I77" s="30"/>
      <c r="J77" s="30"/>
      <c r="K77" s="30"/>
      <c r="L77" s="30"/>
      <c r="M77" s="30"/>
      <c r="N77" s="30"/>
      <c r="O77" s="30"/>
      <c r="P77" s="30"/>
      <c r="Q77" s="30"/>
    </row>
    <row r="78" spans="1:17" hidden="1" outlineLevel="4" x14ac:dyDescent="0.3">
      <c r="A78" s="189" t="s">
        <v>69</v>
      </c>
      <c r="B78" s="190">
        <v>0.10530038639</v>
      </c>
      <c r="C78" s="190">
        <v>7.854839945E-2</v>
      </c>
      <c r="D78" s="190">
        <v>0</v>
      </c>
      <c r="E78" s="190">
        <v>0</v>
      </c>
      <c r="F78" s="190">
        <v>0</v>
      </c>
      <c r="G78" s="190">
        <v>0</v>
      </c>
      <c r="H78" s="30"/>
      <c r="I78" s="30"/>
      <c r="J78" s="30"/>
      <c r="K78" s="30"/>
      <c r="L78" s="30"/>
      <c r="M78" s="30"/>
      <c r="N78" s="30"/>
      <c r="O78" s="30"/>
      <c r="P78" s="30"/>
      <c r="Q78" s="30"/>
    </row>
    <row r="79" spans="1:17" hidden="1" outlineLevel="4" x14ac:dyDescent="0.3">
      <c r="A79" s="189" t="s">
        <v>70</v>
      </c>
      <c r="B79" s="190">
        <v>0.12830758628</v>
      </c>
      <c r="C79" s="190">
        <v>9.5710527609999999E-2</v>
      </c>
      <c r="D79" s="190">
        <v>9.2147942199999999E-2</v>
      </c>
      <c r="E79" s="190">
        <v>0</v>
      </c>
      <c r="F79" s="190">
        <v>0</v>
      </c>
      <c r="G79" s="190">
        <v>0</v>
      </c>
      <c r="H79" s="30"/>
      <c r="I79" s="30"/>
      <c r="J79" s="30"/>
      <c r="K79" s="30"/>
      <c r="L79" s="30"/>
      <c r="M79" s="30"/>
      <c r="N79" s="30"/>
      <c r="O79" s="30"/>
      <c r="P79" s="30"/>
      <c r="Q79" s="30"/>
    </row>
    <row r="80" spans="1:17" hidden="1" outlineLevel="4" x14ac:dyDescent="0.3">
      <c r="A80" s="189" t="s">
        <v>71</v>
      </c>
      <c r="B80" s="190">
        <v>7.3318620730000006E-2</v>
      </c>
      <c r="C80" s="190">
        <v>5.4691730059999999E-2</v>
      </c>
      <c r="D80" s="190">
        <v>5.2655966970000002E-2</v>
      </c>
      <c r="E80" s="190">
        <v>4.7574870950000001E-2</v>
      </c>
      <c r="F80" s="190">
        <v>0</v>
      </c>
      <c r="G80" s="190">
        <v>0</v>
      </c>
      <c r="H80" s="30"/>
      <c r="I80" s="30"/>
      <c r="J80" s="30"/>
      <c r="K80" s="30"/>
      <c r="L80" s="30"/>
      <c r="M80" s="30"/>
      <c r="N80" s="30"/>
      <c r="O80" s="30"/>
      <c r="P80" s="30"/>
      <c r="Q80" s="30"/>
    </row>
    <row r="81" spans="1:17" hidden="1" outlineLevel="3" x14ac:dyDescent="0.3">
      <c r="A81" s="191" t="s">
        <v>20</v>
      </c>
      <c r="B81" s="190">
        <f t="shared" ref="B81:G81" si="16">SUM(B$82:B$88)</f>
        <v>1.1771104859999999</v>
      </c>
      <c r="C81" s="190">
        <f t="shared" si="16"/>
        <v>1.65031092421</v>
      </c>
      <c r="D81" s="190">
        <f t="shared" si="16"/>
        <v>1.6013404336699999</v>
      </c>
      <c r="E81" s="190">
        <f t="shared" si="16"/>
        <v>1.5433644391799999</v>
      </c>
      <c r="F81" s="190">
        <f t="shared" si="16"/>
        <v>1.4584017785299999</v>
      </c>
      <c r="G81" s="190">
        <f t="shared" si="16"/>
        <v>1.33191387329</v>
      </c>
      <c r="H81" s="30"/>
      <c r="I81" s="30"/>
      <c r="J81" s="30"/>
      <c r="K81" s="30"/>
      <c r="L81" s="30"/>
      <c r="M81" s="30"/>
      <c r="N81" s="30"/>
      <c r="O81" s="30"/>
      <c r="P81" s="30"/>
      <c r="Q81" s="30"/>
    </row>
    <row r="82" spans="1:17" hidden="1" outlineLevel="4" x14ac:dyDescent="0.3">
      <c r="A82" s="189" t="s">
        <v>72</v>
      </c>
      <c r="B82" s="190">
        <v>0.1594837704</v>
      </c>
      <c r="C82" s="190">
        <v>0.11713829667</v>
      </c>
      <c r="D82" s="190">
        <v>9.436784896E-2</v>
      </c>
      <c r="E82" s="190">
        <v>6.2834343449999996E-2</v>
      </c>
      <c r="F82" s="190">
        <v>3.5912473979999998E-2</v>
      </c>
      <c r="G82" s="190">
        <v>3.101228415E-2</v>
      </c>
      <c r="H82" s="30"/>
      <c r="I82" s="30"/>
      <c r="J82" s="30"/>
      <c r="K82" s="30"/>
      <c r="L82" s="30"/>
      <c r="M82" s="30"/>
      <c r="N82" s="30"/>
      <c r="O82" s="30"/>
      <c r="P82" s="30"/>
      <c r="Q82" s="30"/>
    </row>
    <row r="83" spans="1:17" hidden="1" outlineLevel="4" x14ac:dyDescent="0.3">
      <c r="A83" s="189" t="s">
        <v>73</v>
      </c>
      <c r="B83" s="190">
        <v>1.2999999999999999E-2</v>
      </c>
      <c r="C83" s="190">
        <v>1.2999999999999999E-2</v>
      </c>
      <c r="D83" s="190">
        <v>1.155555556E-2</v>
      </c>
      <c r="E83" s="190">
        <v>7.2222222400000003E-3</v>
      </c>
      <c r="F83" s="190">
        <v>2.8888889199999998E-3</v>
      </c>
      <c r="G83" s="190">
        <v>0</v>
      </c>
      <c r="H83" s="30"/>
      <c r="I83" s="30"/>
      <c r="J83" s="30"/>
      <c r="K83" s="30"/>
      <c r="L83" s="30"/>
      <c r="M83" s="30"/>
      <c r="N83" s="30"/>
      <c r="O83" s="30"/>
      <c r="P83" s="30"/>
      <c r="Q83" s="30"/>
    </row>
    <row r="84" spans="1:17" hidden="1" outlineLevel="4" x14ac:dyDescent="0.3">
      <c r="A84" s="189" t="s">
        <v>74</v>
      </c>
      <c r="B84" s="190">
        <v>0.38894169869</v>
      </c>
      <c r="C84" s="190">
        <v>0.33856009715000002</v>
      </c>
      <c r="D84" s="190">
        <v>0.29996368222999997</v>
      </c>
      <c r="E84" s="190">
        <v>0.35657922199999997</v>
      </c>
      <c r="F84" s="190">
        <v>0.24133749275999999</v>
      </c>
      <c r="G84" s="190">
        <v>0.1731396395</v>
      </c>
      <c r="H84" s="30"/>
      <c r="I84" s="30"/>
      <c r="J84" s="30"/>
      <c r="K84" s="30"/>
      <c r="L84" s="30"/>
      <c r="M84" s="30"/>
      <c r="N84" s="30"/>
      <c r="O84" s="30"/>
      <c r="P84" s="30"/>
      <c r="Q84" s="30"/>
    </row>
    <row r="85" spans="1:17" hidden="1" outlineLevel="4" x14ac:dyDescent="0.3">
      <c r="A85" s="189" t="s">
        <v>75</v>
      </c>
      <c r="B85" s="190">
        <v>0.45876715325</v>
      </c>
      <c r="C85" s="190">
        <v>0.381145081</v>
      </c>
      <c r="D85" s="190">
        <v>0.34677464744999997</v>
      </c>
      <c r="E85" s="190">
        <v>0.31541573540000001</v>
      </c>
      <c r="F85" s="190">
        <v>0.34992654138000001</v>
      </c>
      <c r="G85" s="190">
        <v>0.30448624317</v>
      </c>
      <c r="H85" s="30"/>
      <c r="I85" s="30"/>
      <c r="J85" s="30"/>
      <c r="K85" s="30"/>
      <c r="L85" s="30"/>
      <c r="M85" s="30"/>
      <c r="N85" s="30"/>
      <c r="O85" s="30"/>
      <c r="P85" s="30"/>
      <c r="Q85" s="30"/>
    </row>
    <row r="86" spans="1:17" hidden="1" outlineLevel="4" x14ac:dyDescent="0.3">
      <c r="A86" s="189" t="s">
        <v>76</v>
      </c>
      <c r="B86" s="190">
        <v>0.01</v>
      </c>
      <c r="C86" s="190">
        <v>0.01</v>
      </c>
      <c r="D86" s="190">
        <v>8.8888888799999993E-3</v>
      </c>
      <c r="E86" s="190">
        <v>5.5555555199999999E-3</v>
      </c>
      <c r="F86" s="190">
        <v>2.2222221600000001E-3</v>
      </c>
      <c r="G86" s="190">
        <v>0</v>
      </c>
      <c r="H86" s="30"/>
      <c r="I86" s="30"/>
      <c r="J86" s="30"/>
      <c r="K86" s="30"/>
      <c r="L86" s="30"/>
      <c r="M86" s="30"/>
      <c r="N86" s="30"/>
      <c r="O86" s="30"/>
      <c r="P86" s="30"/>
      <c r="Q86" s="30"/>
    </row>
    <row r="87" spans="1:17" hidden="1" outlineLevel="4" x14ac:dyDescent="0.3">
      <c r="A87" s="189" t="s">
        <v>77</v>
      </c>
      <c r="B87" s="190">
        <v>1.4E-2</v>
      </c>
      <c r="C87" s="190">
        <v>1.4E-2</v>
      </c>
      <c r="D87" s="190">
        <v>1.2444444440000001E-2</v>
      </c>
      <c r="E87" s="190">
        <v>7.77777776E-3</v>
      </c>
      <c r="F87" s="190">
        <v>3.1111110799999999E-3</v>
      </c>
      <c r="G87" s="190">
        <v>0</v>
      </c>
      <c r="H87" s="30"/>
      <c r="I87" s="30"/>
      <c r="J87" s="30"/>
      <c r="K87" s="30"/>
      <c r="L87" s="30"/>
      <c r="M87" s="30"/>
      <c r="N87" s="30"/>
      <c r="O87" s="30"/>
      <c r="P87" s="30"/>
      <c r="Q87" s="30"/>
    </row>
    <row r="88" spans="1:17" hidden="1" outlineLevel="4" x14ac:dyDescent="0.3">
      <c r="A88" s="189" t="s">
        <v>78</v>
      </c>
      <c r="B88" s="190">
        <v>0.13291786366</v>
      </c>
      <c r="C88" s="190">
        <v>0.77646744939000001</v>
      </c>
      <c r="D88" s="190">
        <v>0.82734536614999998</v>
      </c>
      <c r="E88" s="190">
        <v>0.78797958281000002</v>
      </c>
      <c r="F88" s="190">
        <v>0.82300304825000004</v>
      </c>
      <c r="G88" s="190">
        <v>0.82327570647000003</v>
      </c>
      <c r="H88" s="30"/>
      <c r="I88" s="30"/>
      <c r="J88" s="30"/>
      <c r="K88" s="30"/>
      <c r="L88" s="30"/>
      <c r="M88" s="30"/>
      <c r="N88" s="30"/>
      <c r="O88" s="30"/>
      <c r="P88" s="30"/>
      <c r="Q88" s="30"/>
    </row>
    <row r="89" spans="1:17" hidden="1" outlineLevel="3" x14ac:dyDescent="0.3">
      <c r="A89" s="191" t="s">
        <v>79</v>
      </c>
      <c r="B89" s="190">
        <f t="shared" ref="B89:G89" si="17">SUM(B$90:B$90)</f>
        <v>3.4996809999999997E-5</v>
      </c>
      <c r="C89" s="190">
        <f t="shared" si="17"/>
        <v>2.6105729999999998E-5</v>
      </c>
      <c r="D89" s="190">
        <f t="shared" si="17"/>
        <v>2.5134010000000001E-5</v>
      </c>
      <c r="E89" s="190">
        <f t="shared" si="17"/>
        <v>2.270868E-5</v>
      </c>
      <c r="F89" s="190">
        <f t="shared" si="17"/>
        <v>2.2521809999999999E-5</v>
      </c>
      <c r="G89" s="190">
        <f t="shared" si="17"/>
        <v>2.1428489999999999E-5</v>
      </c>
      <c r="H89" s="30"/>
      <c r="I89" s="30"/>
      <c r="J89" s="30"/>
      <c r="K89" s="30"/>
      <c r="L89" s="30"/>
      <c r="M89" s="30"/>
      <c r="N89" s="30"/>
      <c r="O89" s="30"/>
      <c r="P89" s="30"/>
      <c r="Q89" s="30"/>
    </row>
    <row r="90" spans="1:17" hidden="1" outlineLevel="4" x14ac:dyDescent="0.3">
      <c r="A90" s="189" t="s">
        <v>80</v>
      </c>
      <c r="B90" s="190">
        <v>3.4996809999999997E-5</v>
      </c>
      <c r="C90" s="190">
        <v>2.6105729999999998E-5</v>
      </c>
      <c r="D90" s="190">
        <v>2.5134010000000001E-5</v>
      </c>
      <c r="E90" s="190">
        <v>2.270868E-5</v>
      </c>
      <c r="F90" s="190">
        <v>2.2521809999999999E-5</v>
      </c>
      <c r="G90" s="190">
        <v>2.1428489999999999E-5</v>
      </c>
      <c r="H90" s="30"/>
      <c r="I90" s="30"/>
      <c r="J90" s="30"/>
      <c r="K90" s="30"/>
      <c r="L90" s="30"/>
      <c r="M90" s="30"/>
      <c r="N90" s="30"/>
      <c r="O90" s="30"/>
      <c r="P90" s="30"/>
      <c r="Q90" s="30"/>
    </row>
    <row r="91" spans="1:17" ht="14.4" outlineLevel="2" collapsed="1" x14ac:dyDescent="0.3">
      <c r="A91" s="200" t="s">
        <v>22</v>
      </c>
      <c r="B91" s="201">
        <f t="shared" ref="B91:G91" si="18">B$92+B$99+B$102+B$105+B$108</f>
        <v>9.542456725500001</v>
      </c>
      <c r="C91" s="201">
        <f t="shared" si="18"/>
        <v>7.8820702753100003</v>
      </c>
      <c r="D91" s="201">
        <f t="shared" si="18"/>
        <v>6.9175722951700003</v>
      </c>
      <c r="E91" s="201">
        <f t="shared" si="18"/>
        <v>5.2131031995800008</v>
      </c>
      <c r="F91" s="201">
        <f t="shared" si="18"/>
        <v>5.0106066648100001</v>
      </c>
      <c r="G91" s="201">
        <f t="shared" si="18"/>
        <v>4.39947909218</v>
      </c>
      <c r="H91" s="30"/>
      <c r="I91" s="30"/>
      <c r="J91" s="30"/>
      <c r="K91" s="30"/>
      <c r="L91" s="30"/>
      <c r="M91" s="30"/>
      <c r="N91" s="30"/>
      <c r="O91" s="30"/>
      <c r="P91" s="30"/>
      <c r="Q91" s="30"/>
    </row>
    <row r="92" spans="1:17" hidden="1" outlineLevel="3" x14ac:dyDescent="0.3">
      <c r="A92" s="191" t="s">
        <v>23</v>
      </c>
      <c r="B92" s="190">
        <f t="shared" ref="B92:G92" si="19">SUM(B$93:B$98)</f>
        <v>6.8215236588600003</v>
      </c>
      <c r="C92" s="190">
        <f t="shared" si="19"/>
        <v>5.22954123319</v>
      </c>
      <c r="D92" s="190">
        <f t="shared" si="19"/>
        <v>4.23165891857</v>
      </c>
      <c r="E92" s="190">
        <f t="shared" si="19"/>
        <v>3.2418873771000003</v>
      </c>
      <c r="F92" s="190">
        <f t="shared" si="19"/>
        <v>3.0446349742200001</v>
      </c>
      <c r="G92" s="190">
        <f t="shared" si="19"/>
        <v>2.4449649041699999</v>
      </c>
      <c r="H92" s="30"/>
      <c r="I92" s="30"/>
      <c r="J92" s="30"/>
      <c r="K92" s="30"/>
      <c r="L92" s="30"/>
      <c r="M92" s="30"/>
      <c r="N92" s="30"/>
      <c r="O92" s="30"/>
      <c r="P92" s="30"/>
      <c r="Q92" s="30"/>
    </row>
    <row r="93" spans="1:17" hidden="1" outlineLevel="4" x14ac:dyDescent="0.3">
      <c r="A93" s="189" t="s">
        <v>81</v>
      </c>
      <c r="B93" s="190">
        <v>0.34008035721000002</v>
      </c>
      <c r="C93" s="190">
        <v>0.31954463665999999</v>
      </c>
      <c r="D93" s="190">
        <v>0.33337466827000001</v>
      </c>
      <c r="E93" s="190">
        <v>0.31347034895999998</v>
      </c>
      <c r="F93" s="190">
        <v>0.35285978512999999</v>
      </c>
      <c r="G93" s="190">
        <v>0.34935904199000001</v>
      </c>
      <c r="H93" s="30"/>
      <c r="I93" s="30"/>
      <c r="J93" s="30"/>
      <c r="K93" s="30"/>
      <c r="L93" s="30"/>
      <c r="M93" s="30"/>
      <c r="N93" s="30"/>
      <c r="O93" s="30"/>
      <c r="P93" s="30"/>
      <c r="Q93" s="30"/>
    </row>
    <row r="94" spans="1:17" hidden="1" outlineLevel="4" x14ac:dyDescent="0.3">
      <c r="A94" s="189" t="s">
        <v>26</v>
      </c>
      <c r="B94" s="190">
        <v>0.34018379404999999</v>
      </c>
      <c r="C94" s="190">
        <v>0.60634335549999996</v>
      </c>
      <c r="D94" s="190">
        <v>1.11848112001</v>
      </c>
      <c r="E94" s="190">
        <v>1.0781519687600001</v>
      </c>
      <c r="F94" s="190">
        <v>1.5755458677600001</v>
      </c>
      <c r="G94" s="190">
        <v>1.14285080928</v>
      </c>
      <c r="H94" s="30"/>
      <c r="I94" s="30"/>
      <c r="J94" s="30"/>
      <c r="K94" s="30"/>
      <c r="L94" s="30"/>
      <c r="M94" s="30"/>
      <c r="N94" s="30"/>
      <c r="O94" s="30"/>
      <c r="P94" s="30"/>
      <c r="Q94" s="30"/>
    </row>
    <row r="95" spans="1:17" hidden="1" outlineLevel="4" x14ac:dyDescent="0.3">
      <c r="A95" s="189" t="s">
        <v>27</v>
      </c>
      <c r="B95" s="190">
        <v>6.1798268910000002E-2</v>
      </c>
      <c r="C95" s="190">
        <v>0.10946001528</v>
      </c>
      <c r="D95" s="190">
        <v>0.11186386994</v>
      </c>
      <c r="E95" s="190">
        <v>0.19232794526999999</v>
      </c>
      <c r="F95" s="190">
        <v>0.21325653736</v>
      </c>
      <c r="G95" s="190">
        <v>0.20540277737000001</v>
      </c>
      <c r="H95" s="30"/>
      <c r="I95" s="30"/>
      <c r="J95" s="30"/>
      <c r="K95" s="30"/>
      <c r="L95" s="30"/>
      <c r="M95" s="30"/>
      <c r="N95" s="30"/>
      <c r="O95" s="30"/>
      <c r="P95" s="30"/>
      <c r="Q95" s="30"/>
    </row>
    <row r="96" spans="1:17" hidden="1" outlineLevel="4" x14ac:dyDescent="0.3">
      <c r="A96" s="189" t="s">
        <v>31</v>
      </c>
      <c r="B96" s="190">
        <v>0.46823055755999998</v>
      </c>
      <c r="C96" s="190">
        <v>0.46950737846000001</v>
      </c>
      <c r="D96" s="190">
        <v>0.53712731924000001</v>
      </c>
      <c r="E96" s="190">
        <v>0.51326692550999997</v>
      </c>
      <c r="F96" s="190">
        <v>0.48725957650000001</v>
      </c>
      <c r="G96" s="190">
        <v>0.49715442519000003</v>
      </c>
      <c r="H96" s="30"/>
      <c r="I96" s="30"/>
      <c r="J96" s="30"/>
      <c r="K96" s="30"/>
      <c r="L96" s="30"/>
      <c r="M96" s="30"/>
      <c r="N96" s="30"/>
      <c r="O96" s="30"/>
      <c r="P96" s="30"/>
      <c r="Q96" s="30"/>
    </row>
    <row r="97" spans="1:17" hidden="1" outlineLevel="4" x14ac:dyDescent="0.3">
      <c r="A97" s="189" t="s">
        <v>32</v>
      </c>
      <c r="B97" s="190">
        <v>5.6112306811300003</v>
      </c>
      <c r="C97" s="190">
        <v>3.7245303992899998</v>
      </c>
      <c r="D97" s="190">
        <v>2.13065401311</v>
      </c>
      <c r="E97" s="190">
        <v>1.1443781555999999</v>
      </c>
      <c r="F97" s="190">
        <v>0.41477333446999998</v>
      </c>
      <c r="G97" s="190">
        <v>0.24915951851000001</v>
      </c>
      <c r="H97" s="30"/>
      <c r="I97" s="30"/>
      <c r="J97" s="30"/>
      <c r="K97" s="30"/>
      <c r="L97" s="30"/>
      <c r="M97" s="30"/>
      <c r="N97" s="30"/>
      <c r="O97" s="30"/>
      <c r="P97" s="30"/>
      <c r="Q97" s="30"/>
    </row>
    <row r="98" spans="1:17" hidden="1" outlineLevel="4" x14ac:dyDescent="0.3">
      <c r="A98" s="189" t="s">
        <v>33</v>
      </c>
      <c r="B98" s="190">
        <v>0</v>
      </c>
      <c r="C98" s="190">
        <v>1.5544800000000001E-4</v>
      </c>
      <c r="D98" s="190">
        <v>1.57928E-4</v>
      </c>
      <c r="E98" s="190">
        <v>2.9203299999999997E-4</v>
      </c>
      <c r="F98" s="190">
        <v>9.3987300000000003E-4</v>
      </c>
      <c r="G98" s="190">
        <v>1.0383318299999999E-3</v>
      </c>
      <c r="H98" s="30"/>
      <c r="I98" s="30"/>
      <c r="J98" s="30"/>
      <c r="K98" s="30"/>
      <c r="L98" s="30"/>
      <c r="M98" s="30"/>
      <c r="N98" s="30"/>
      <c r="O98" s="30"/>
      <c r="P98" s="30"/>
      <c r="Q98" s="30"/>
    </row>
    <row r="99" spans="1:17" hidden="1" outlineLevel="3" x14ac:dyDescent="0.3">
      <c r="A99" s="191" t="s">
        <v>82</v>
      </c>
      <c r="B99" s="190">
        <f t="shared" ref="B99:G99" si="20">SUM(B$100:B$101)</f>
        <v>0.9</v>
      </c>
      <c r="C99" s="190">
        <f t="shared" si="20"/>
        <v>0.82499999999999996</v>
      </c>
      <c r="D99" s="190">
        <f t="shared" si="20"/>
        <v>0.85471092828999995</v>
      </c>
      <c r="E99" s="190">
        <f t="shared" si="20"/>
        <v>0.85779034641999996</v>
      </c>
      <c r="F99" s="190">
        <f t="shared" si="20"/>
        <v>0.86194240820000001</v>
      </c>
      <c r="G99" s="190">
        <f t="shared" si="20"/>
        <v>0.86157590034999998</v>
      </c>
      <c r="H99" s="30"/>
      <c r="I99" s="30"/>
      <c r="J99" s="30"/>
      <c r="K99" s="30"/>
      <c r="L99" s="30"/>
      <c r="M99" s="30"/>
      <c r="N99" s="30"/>
      <c r="O99" s="30"/>
      <c r="P99" s="30"/>
      <c r="Q99" s="30"/>
    </row>
    <row r="100" spans="1:17" hidden="1" outlineLevel="4" x14ac:dyDescent="0.3">
      <c r="A100" s="189" t="s">
        <v>83</v>
      </c>
      <c r="B100" s="190">
        <v>0.9</v>
      </c>
      <c r="C100" s="190">
        <v>0.82499999999999996</v>
      </c>
      <c r="D100" s="190">
        <v>0.82499999999999996</v>
      </c>
      <c r="E100" s="190">
        <v>0.82499999999999996</v>
      </c>
      <c r="F100" s="190">
        <v>0.82499999999999996</v>
      </c>
      <c r="G100" s="190">
        <v>0.82499999999999996</v>
      </c>
      <c r="H100" s="30"/>
      <c r="I100" s="30"/>
      <c r="J100" s="30"/>
      <c r="K100" s="30"/>
      <c r="L100" s="30"/>
      <c r="M100" s="30"/>
      <c r="N100" s="30"/>
      <c r="O100" s="30"/>
      <c r="P100" s="30"/>
      <c r="Q100" s="30"/>
    </row>
    <row r="101" spans="1:17" hidden="1" outlineLevel="4" x14ac:dyDescent="0.3">
      <c r="A101" s="189" t="s">
        <v>39</v>
      </c>
      <c r="B101" s="190">
        <v>0</v>
      </c>
      <c r="C101" s="190">
        <v>0</v>
      </c>
      <c r="D101" s="190">
        <v>2.9710928290000001E-2</v>
      </c>
      <c r="E101" s="190">
        <v>3.2790346419999998E-2</v>
      </c>
      <c r="F101" s="190">
        <v>3.6942408199999999E-2</v>
      </c>
      <c r="G101" s="190">
        <v>3.6575900350000003E-2</v>
      </c>
      <c r="H101" s="30"/>
      <c r="I101" s="30"/>
      <c r="J101" s="30"/>
      <c r="K101" s="30"/>
      <c r="L101" s="30"/>
      <c r="M101" s="30"/>
      <c r="N101" s="30"/>
      <c r="O101" s="30"/>
      <c r="P101" s="30"/>
      <c r="Q101" s="30"/>
    </row>
    <row r="102" spans="1:17" hidden="1" outlineLevel="3" x14ac:dyDescent="0.3">
      <c r="A102" s="191" t="s">
        <v>47</v>
      </c>
      <c r="B102" s="190">
        <f t="shared" ref="B102:G102" si="21">SUM(B$103:B$104)</f>
        <v>0.18194537496000002</v>
      </c>
      <c r="C102" s="190">
        <f t="shared" si="21"/>
        <v>0.19414059239000001</v>
      </c>
      <c r="D102" s="190">
        <f t="shared" si="21"/>
        <v>0.19693230805</v>
      </c>
      <c r="E102" s="190">
        <f t="shared" si="21"/>
        <v>0.18221230804999999</v>
      </c>
      <c r="F102" s="190">
        <f t="shared" si="21"/>
        <v>0.16749230805000001</v>
      </c>
      <c r="G102" s="190">
        <f t="shared" si="21"/>
        <v>0.15645230804999999</v>
      </c>
      <c r="H102" s="30"/>
      <c r="I102" s="30"/>
      <c r="J102" s="30"/>
      <c r="K102" s="30"/>
      <c r="L102" s="30"/>
      <c r="M102" s="30"/>
      <c r="N102" s="30"/>
      <c r="O102" s="30"/>
      <c r="P102" s="30"/>
      <c r="Q102" s="30"/>
    </row>
    <row r="103" spans="1:17" hidden="1" outlineLevel="4" x14ac:dyDescent="0.3">
      <c r="A103" s="189" t="s">
        <v>84</v>
      </c>
      <c r="B103" s="190">
        <v>0.16409411059000001</v>
      </c>
      <c r="C103" s="190">
        <v>0.18854023267</v>
      </c>
      <c r="D103" s="190">
        <v>0.19693230805</v>
      </c>
      <c r="E103" s="190">
        <v>0.18221230804999999</v>
      </c>
      <c r="F103" s="190">
        <v>0.16749230805000001</v>
      </c>
      <c r="G103" s="190">
        <v>0.15645230804999999</v>
      </c>
      <c r="H103" s="30"/>
      <c r="I103" s="30"/>
      <c r="J103" s="30"/>
      <c r="K103" s="30"/>
      <c r="L103" s="30"/>
      <c r="M103" s="30"/>
      <c r="N103" s="30"/>
      <c r="O103" s="30"/>
      <c r="P103" s="30"/>
      <c r="Q103" s="30"/>
    </row>
    <row r="104" spans="1:17" hidden="1" outlineLevel="4" x14ac:dyDescent="0.3">
      <c r="A104" s="189" t="s">
        <v>52</v>
      </c>
      <c r="B104" s="190">
        <v>1.7851264370000001E-2</v>
      </c>
      <c r="C104" s="190">
        <v>5.6003597199999998E-3</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1.5249999999999999</v>
      </c>
      <c r="C105" s="190">
        <f t="shared" si="22"/>
        <v>1.5249999999999999</v>
      </c>
      <c r="D105" s="190">
        <f t="shared" si="22"/>
        <v>1.5249999999999999</v>
      </c>
      <c r="E105" s="190">
        <f t="shared" si="22"/>
        <v>0.82499999999999996</v>
      </c>
      <c r="F105" s="190">
        <f t="shared" si="22"/>
        <v>0.82499999999999996</v>
      </c>
      <c r="G105" s="190">
        <f t="shared" si="22"/>
        <v>0.82499999999999996</v>
      </c>
      <c r="H105" s="30"/>
      <c r="I105" s="30"/>
      <c r="J105" s="30"/>
      <c r="K105" s="30"/>
      <c r="L105" s="30"/>
      <c r="M105" s="30"/>
      <c r="N105" s="30"/>
      <c r="O105" s="30"/>
      <c r="P105" s="30"/>
      <c r="Q105" s="30"/>
    </row>
    <row r="106" spans="1:17" hidden="1" outlineLevel="4" x14ac:dyDescent="0.3">
      <c r="A106" s="189" t="s">
        <v>86</v>
      </c>
      <c r="B106" s="190">
        <v>0.7</v>
      </c>
      <c r="C106" s="190">
        <v>0.7</v>
      </c>
      <c r="D106" s="190">
        <v>0.7</v>
      </c>
      <c r="E106" s="190">
        <v>0</v>
      </c>
      <c r="F106" s="190">
        <v>0</v>
      </c>
      <c r="G106" s="190">
        <v>0</v>
      </c>
      <c r="H106" s="30"/>
      <c r="I106" s="30"/>
      <c r="J106" s="30"/>
      <c r="K106" s="30"/>
      <c r="L106" s="30"/>
      <c r="M106" s="30"/>
      <c r="N106" s="30"/>
      <c r="O106" s="30"/>
      <c r="P106" s="30"/>
      <c r="Q106" s="30"/>
    </row>
    <row r="107" spans="1:17" hidden="1" outlineLevel="4" x14ac:dyDescent="0.3">
      <c r="A107" s="189" t="s">
        <v>87</v>
      </c>
      <c r="B107" s="190">
        <v>0.82499999999999996</v>
      </c>
      <c r="C107" s="190">
        <v>0.82499999999999996</v>
      </c>
      <c r="D107" s="190">
        <v>0.82499999999999996</v>
      </c>
      <c r="E107" s="190">
        <v>0.82499999999999996</v>
      </c>
      <c r="F107" s="190">
        <v>0.82499999999999996</v>
      </c>
      <c r="G107" s="190">
        <v>0.82499999999999996</v>
      </c>
      <c r="H107" s="30"/>
      <c r="I107" s="30"/>
      <c r="J107" s="30"/>
      <c r="K107" s="30"/>
      <c r="L107" s="30"/>
      <c r="M107" s="30"/>
      <c r="N107" s="30"/>
      <c r="O107" s="30"/>
      <c r="P107" s="30"/>
      <c r="Q107" s="30"/>
    </row>
    <row r="108" spans="1:17" hidden="1" outlineLevel="3" x14ac:dyDescent="0.3">
      <c r="A108" s="191" t="s">
        <v>65</v>
      </c>
      <c r="B108" s="190">
        <f t="shared" ref="B108:G108" si="23">SUM(B$109:B$109)</f>
        <v>0.11398769168</v>
      </c>
      <c r="C108" s="190">
        <f t="shared" si="23"/>
        <v>0.10838844973</v>
      </c>
      <c r="D108" s="190">
        <f t="shared" si="23"/>
        <v>0.10927014026</v>
      </c>
      <c r="E108" s="190">
        <f t="shared" si="23"/>
        <v>0.10621316801</v>
      </c>
      <c r="F108" s="190">
        <f t="shared" si="23"/>
        <v>0.11153697434</v>
      </c>
      <c r="G108" s="190">
        <f t="shared" si="23"/>
        <v>0.11148597960999999</v>
      </c>
      <c r="H108" s="30"/>
      <c r="I108" s="30"/>
      <c r="J108" s="30"/>
      <c r="K108" s="30"/>
      <c r="L108" s="30"/>
      <c r="M108" s="30"/>
      <c r="N108" s="30"/>
      <c r="O108" s="30"/>
      <c r="P108" s="30"/>
      <c r="Q108" s="30"/>
    </row>
    <row r="109" spans="1:17" hidden="1" outlineLevel="4" x14ac:dyDescent="0.3">
      <c r="A109" s="189" t="s">
        <v>32</v>
      </c>
      <c r="B109" s="190">
        <v>0.11398769168</v>
      </c>
      <c r="C109" s="190">
        <v>0.10838844973</v>
      </c>
      <c r="D109" s="190">
        <v>0.10927014026</v>
      </c>
      <c r="E109" s="190">
        <v>0.10621316801</v>
      </c>
      <c r="F109" s="190">
        <v>0.11153697434</v>
      </c>
      <c r="G109" s="190">
        <v>0.11148597960999999</v>
      </c>
      <c r="H109" s="30"/>
      <c r="I109" s="30"/>
      <c r="J109" s="30"/>
      <c r="K109" s="30"/>
      <c r="L109" s="30"/>
      <c r="M109" s="30"/>
      <c r="N109" s="30"/>
      <c r="O109" s="30"/>
      <c r="P109" s="30"/>
      <c r="Q109" s="30"/>
    </row>
    <row r="110" spans="1:17" ht="40.049999999999997" customHeight="1" x14ac:dyDescent="0.3">
      <c r="A110" s="298" t="s">
        <v>158</v>
      </c>
      <c r="B110" s="299"/>
      <c r="C110" s="299"/>
      <c r="D110" s="299"/>
      <c r="E110" s="299"/>
      <c r="F110" s="299"/>
      <c r="G110" s="299"/>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sheetData>
  <mergeCells count="2">
    <mergeCell ref="A2:G2"/>
    <mergeCell ref="A110:G110"/>
  </mergeCells>
  <phoneticPr fontId="4" type="noConversion"/>
  <printOptions horizontalCentered="1" verticalCentered="1"/>
  <pageMargins left="0.78740157480314998" right="0.78740157480314998" top="0.98425196850393704" bottom="0.98425196850393704" header="0.511811023622047" footer="0.511811023622047"/>
  <pageSetup paperSize="9" scale="9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42">
    <tabColor indexed="50"/>
    <outlinePr applyStyles="1" summaryBelow="0"/>
    <pageSetUpPr fitToPage="1"/>
  </sheetPr>
  <dimension ref="A2:S153"/>
  <sheetViews>
    <sheetView workbookViewId="0">
      <selection activeCell="I91" sqref="I91"/>
    </sheetView>
  </sheetViews>
  <sheetFormatPr defaultColWidth="9.109375" defaultRowHeight="13.8" outlineLevelRow="4" x14ac:dyDescent="0.3"/>
  <cols>
    <col min="1" max="1" width="52" style="26" customWidth="1"/>
    <col min="2" max="7" width="16.33203125" style="27" customWidth="1"/>
    <col min="8" max="8" width="9.109375" style="26" customWidth="1"/>
    <col min="9" max="16384" width="9.109375" style="26"/>
  </cols>
  <sheetData>
    <row r="2" spans="1:19" ht="18" x14ac:dyDescent="0.35">
      <c r="A2" s="5" t="str">
        <f>IF(REPORT_LANG="UKR","Державний та гарантований державою борг України за останні 5 років","State debt and State guaranteed debt of Ukraine for the last 5 years")</f>
        <v>Державний та гарантований державою борг України за останні 5 років</v>
      </c>
      <c r="B2" s="3"/>
      <c r="C2" s="3"/>
      <c r="D2" s="3"/>
      <c r="E2" s="3"/>
      <c r="F2" s="3"/>
      <c r="G2" s="3"/>
      <c r="H2" s="30"/>
      <c r="I2" s="30"/>
      <c r="J2" s="30"/>
      <c r="K2" s="30"/>
      <c r="L2" s="30"/>
      <c r="M2" s="30"/>
      <c r="N2" s="30"/>
      <c r="O2" s="30"/>
      <c r="P2" s="30"/>
      <c r="Q2" s="30"/>
      <c r="R2" s="30"/>
      <c r="S2" s="30"/>
    </row>
    <row r="3" spans="1:19" x14ac:dyDescent="0.3">
      <c r="A3" s="28"/>
    </row>
    <row r="4" spans="1:19" s="31" customFormat="1" x14ac:dyDescent="0.3">
      <c r="B4" s="32"/>
      <c r="C4" s="32"/>
      <c r="D4" s="32"/>
      <c r="E4" s="32"/>
      <c r="F4" s="32"/>
      <c r="G4" s="31" t="str">
        <f>VALEUR</f>
        <v>млрд. євро</v>
      </c>
    </row>
    <row r="5" spans="1:19" s="18" customFormat="1" x14ac:dyDescent="0.25">
      <c r="A5" s="16"/>
      <c r="B5" s="17">
        <v>44561</v>
      </c>
      <c r="C5" s="17">
        <v>44926</v>
      </c>
      <c r="D5" s="17">
        <v>45291</v>
      </c>
      <c r="E5" s="17">
        <v>45657</v>
      </c>
      <c r="F5" s="17">
        <v>46022</v>
      </c>
      <c r="G5" s="17">
        <v>46265</v>
      </c>
    </row>
    <row r="6" spans="1:19" s="19" customFormat="1" ht="31.2" x14ac:dyDescent="0.25">
      <c r="A6" s="154" t="str">
        <f>IF(REPORT_LANG="UKR","Загальна сума державного та гарантованого державою боргу","Total amount of state debt and state guaranteed debt")</f>
        <v>Загальна сума державного та гарантованого державою боргу</v>
      </c>
      <c r="B6" s="25">
        <f t="shared" ref="B6:G6" si="0">B$7+B$72</f>
        <v>86.411233865040003</v>
      </c>
      <c r="C6" s="25">
        <f t="shared" si="0"/>
        <v>104.63320166740999</v>
      </c>
      <c r="D6" s="25">
        <f t="shared" si="0"/>
        <v>130.77256766163001</v>
      </c>
      <c r="E6" s="25">
        <f t="shared" si="0"/>
        <v>158.92388405312002</v>
      </c>
      <c r="F6" s="25">
        <f t="shared" si="0"/>
        <v>181.37408418046002</v>
      </c>
      <c r="G6" s="25">
        <f t="shared" si="0"/>
        <v>185.09674296469998</v>
      </c>
    </row>
    <row r="7" spans="1:19" s="20" customFormat="1" ht="14.4" outlineLevel="1" x14ac:dyDescent="0.25">
      <c r="A7" s="196" t="s">
        <v>1</v>
      </c>
      <c r="B7" s="197">
        <f t="shared" ref="B7:G7" si="1">B$8+B$27</f>
        <v>76.407551459339999</v>
      </c>
      <c r="C7" s="197">
        <f t="shared" si="1"/>
        <v>95.379672710879987</v>
      </c>
      <c r="D7" s="197">
        <f t="shared" si="1"/>
        <v>122.91752827134999</v>
      </c>
      <c r="E7" s="197">
        <f t="shared" si="1"/>
        <v>152.35585672304001</v>
      </c>
      <c r="F7" s="197">
        <f t="shared" si="1"/>
        <v>175.82449681782001</v>
      </c>
      <c r="G7" s="197">
        <f t="shared" si="1"/>
        <v>180.12738288729997</v>
      </c>
    </row>
    <row r="8" spans="1:19" s="21" customFormat="1" ht="14.4" outlineLevel="2" collapsed="1" x14ac:dyDescent="0.25">
      <c r="A8" s="198" t="s">
        <v>3</v>
      </c>
      <c r="B8" s="199">
        <f t="shared" ref="B8:G8" si="2">B$9+B$25</f>
        <v>34.36189177979</v>
      </c>
      <c r="C8" s="199">
        <f t="shared" si="2"/>
        <v>35.677909484989996</v>
      </c>
      <c r="D8" s="199">
        <f t="shared" si="2"/>
        <v>37.616123632200001</v>
      </c>
      <c r="E8" s="199">
        <f t="shared" si="2"/>
        <v>42.414667136889996</v>
      </c>
      <c r="F8" s="199">
        <f t="shared" si="2"/>
        <v>39.457394578079999</v>
      </c>
      <c r="G8" s="199">
        <f t="shared" si="2"/>
        <v>38.615067010400004</v>
      </c>
    </row>
    <row r="9" spans="1:19" s="22" customFormat="1" hidden="1" outlineLevel="3" x14ac:dyDescent="0.25">
      <c r="A9" s="186" t="s">
        <v>4</v>
      </c>
      <c r="B9" s="187">
        <f t="shared" ref="B9:G9" si="3">SUM(B$10:B$24)</f>
        <v>34.302015336179998</v>
      </c>
      <c r="C9" s="187">
        <f t="shared" si="3"/>
        <v>35.633769853329994</v>
      </c>
      <c r="D9" s="187">
        <f t="shared" si="3"/>
        <v>37.578523318750001</v>
      </c>
      <c r="E9" s="187">
        <f t="shared" si="3"/>
        <v>42.381548758779999</v>
      </c>
      <c r="F9" s="187">
        <f t="shared" si="3"/>
        <v>39.43086794213</v>
      </c>
      <c r="G9" s="187">
        <f t="shared" si="3"/>
        <v>38.590849792260002</v>
      </c>
    </row>
    <row r="10" spans="1:19" s="42" customFormat="1" hidden="1" outlineLevel="4" x14ac:dyDescent="0.25">
      <c r="A10" s="188" t="s">
        <v>5</v>
      </c>
      <c r="B10" s="180">
        <v>4.8508210820000001E-2</v>
      </c>
      <c r="C10" s="180">
        <v>0</v>
      </c>
      <c r="D10" s="180">
        <v>0</v>
      </c>
      <c r="E10" s="180">
        <v>0</v>
      </c>
      <c r="F10" s="180">
        <v>0</v>
      </c>
      <c r="G10" s="180">
        <v>0</v>
      </c>
    </row>
    <row r="11" spans="1:19" hidden="1" outlineLevel="4" x14ac:dyDescent="0.3">
      <c r="A11" s="189" t="s">
        <v>6</v>
      </c>
      <c r="B11" s="190">
        <v>1.0671806379999999E-2</v>
      </c>
      <c r="C11" s="190">
        <v>8.4721829999999995E-3</v>
      </c>
      <c r="D11" s="190">
        <v>0</v>
      </c>
      <c r="E11" s="190">
        <v>0</v>
      </c>
      <c r="F11" s="190">
        <v>0</v>
      </c>
      <c r="G11" s="190">
        <v>0</v>
      </c>
      <c r="H11" s="30"/>
      <c r="I11" s="30"/>
      <c r="J11" s="30"/>
      <c r="K11" s="30"/>
      <c r="L11" s="30"/>
      <c r="M11" s="30"/>
      <c r="N11" s="30"/>
      <c r="O11" s="30"/>
      <c r="P11" s="30"/>
      <c r="Q11" s="30"/>
    </row>
    <row r="12" spans="1:19" hidden="1" outlineLevel="4" x14ac:dyDescent="0.3">
      <c r="A12" s="189" t="s">
        <v>7</v>
      </c>
      <c r="B12" s="190">
        <v>1.8623543945500001</v>
      </c>
      <c r="C12" s="190">
        <v>1.2217617005999999</v>
      </c>
      <c r="D12" s="190">
        <v>0.83133347072999997</v>
      </c>
      <c r="E12" s="190">
        <v>9.6752309529999997E-2</v>
      </c>
      <c r="F12" s="190">
        <v>8.5244652150000003E-2</v>
      </c>
      <c r="G12" s="190">
        <v>8.1919183359999995E-2</v>
      </c>
      <c r="H12" s="30"/>
      <c r="I12" s="30"/>
      <c r="J12" s="30"/>
      <c r="K12" s="30"/>
      <c r="L12" s="30"/>
      <c r="M12" s="30"/>
      <c r="N12" s="30"/>
      <c r="O12" s="30"/>
      <c r="P12" s="30"/>
      <c r="Q12" s="30"/>
    </row>
    <row r="13" spans="1:19" hidden="1" outlineLevel="4" x14ac:dyDescent="0.3">
      <c r="A13" s="189" t="s">
        <v>8</v>
      </c>
      <c r="B13" s="190">
        <v>1.12658696229</v>
      </c>
      <c r="C13" s="190">
        <v>0.89438006725999997</v>
      </c>
      <c r="D13" s="190">
        <v>0.82536676779999996</v>
      </c>
      <c r="E13" s="190">
        <v>0.79307294438999998</v>
      </c>
      <c r="F13" s="190">
        <v>0.47937580856000001</v>
      </c>
      <c r="G13" s="190">
        <v>0.29298154987000002</v>
      </c>
      <c r="H13" s="30"/>
      <c r="I13" s="30"/>
      <c r="J13" s="30"/>
      <c r="K13" s="30"/>
      <c r="L13" s="30"/>
      <c r="M13" s="30"/>
      <c r="N13" s="30"/>
      <c r="O13" s="30"/>
      <c r="P13" s="30"/>
      <c r="Q13" s="30"/>
    </row>
    <row r="14" spans="1:19" hidden="1" outlineLevel="4" x14ac:dyDescent="0.3">
      <c r="A14" s="189" t="s">
        <v>9</v>
      </c>
      <c r="B14" s="190">
        <v>4.2013128908699997</v>
      </c>
      <c r="C14" s="190">
        <v>3.3353577057899999</v>
      </c>
      <c r="D14" s="190">
        <v>2.87186801514</v>
      </c>
      <c r="E14" s="190">
        <v>2.7595014866000001</v>
      </c>
      <c r="F14" s="190">
        <v>2.2115471002099998</v>
      </c>
      <c r="G14" s="190">
        <v>2.0612986407</v>
      </c>
      <c r="H14" s="30"/>
      <c r="I14" s="30"/>
      <c r="J14" s="30"/>
      <c r="K14" s="30"/>
      <c r="L14" s="30"/>
      <c r="M14" s="30"/>
      <c r="N14" s="30"/>
      <c r="O14" s="30"/>
      <c r="P14" s="30"/>
      <c r="Q14" s="30"/>
    </row>
    <row r="15" spans="1:19" hidden="1" outlineLevel="4" x14ac:dyDescent="0.3">
      <c r="A15" s="189" t="s">
        <v>10</v>
      </c>
      <c r="B15" s="190">
        <v>9.4494148293099993</v>
      </c>
      <c r="C15" s="190">
        <v>7.4521041307699996</v>
      </c>
      <c r="D15" s="190">
        <v>6.8770753342199997</v>
      </c>
      <c r="E15" s="190">
        <v>6.6079985248900002</v>
      </c>
      <c r="F15" s="190">
        <v>5.7217596100700003</v>
      </c>
      <c r="G15" s="190">
        <v>5.4985487388600003</v>
      </c>
      <c r="H15" s="30"/>
      <c r="I15" s="30"/>
      <c r="J15" s="30"/>
      <c r="K15" s="30"/>
      <c r="L15" s="30"/>
      <c r="M15" s="30"/>
      <c r="N15" s="30"/>
      <c r="O15" s="30"/>
      <c r="P15" s="30"/>
      <c r="Q15" s="30"/>
    </row>
    <row r="16" spans="1:19" hidden="1" outlineLevel="4" x14ac:dyDescent="0.3">
      <c r="A16" s="189" t="s">
        <v>11</v>
      </c>
      <c r="B16" s="190">
        <v>5.4921222669999999E-2</v>
      </c>
      <c r="C16" s="190">
        <v>1.761975302E-2</v>
      </c>
      <c r="D16" s="190">
        <v>0</v>
      </c>
      <c r="E16" s="190">
        <v>0</v>
      </c>
      <c r="F16" s="190">
        <v>0</v>
      </c>
      <c r="G16" s="190">
        <v>0</v>
      </c>
      <c r="H16" s="30"/>
      <c r="I16" s="30"/>
      <c r="J16" s="30"/>
      <c r="K16" s="30"/>
      <c r="L16" s="30"/>
      <c r="M16" s="30"/>
      <c r="N16" s="30"/>
      <c r="O16" s="30"/>
      <c r="P16" s="30"/>
      <c r="Q16" s="30"/>
    </row>
    <row r="17" spans="1:17" hidden="1" outlineLevel="4" x14ac:dyDescent="0.3">
      <c r="A17" s="189" t="s">
        <v>12</v>
      </c>
      <c r="B17" s="190">
        <v>2.5836518598399998</v>
      </c>
      <c r="C17" s="190">
        <v>1.38473035354</v>
      </c>
      <c r="D17" s="190">
        <v>0.80234164694999999</v>
      </c>
      <c r="E17" s="190">
        <v>0.77094871898999995</v>
      </c>
      <c r="F17" s="190">
        <v>0</v>
      </c>
      <c r="G17" s="190">
        <v>0</v>
      </c>
      <c r="H17" s="30"/>
      <c r="I17" s="30"/>
      <c r="J17" s="30"/>
      <c r="K17" s="30"/>
      <c r="L17" s="30"/>
      <c r="M17" s="30"/>
      <c r="N17" s="30"/>
      <c r="O17" s="30"/>
      <c r="P17" s="30"/>
      <c r="Q17" s="30"/>
    </row>
    <row r="18" spans="1:17" hidden="1" outlineLevel="4" x14ac:dyDescent="0.3">
      <c r="A18" s="189" t="s">
        <v>13</v>
      </c>
      <c r="B18" s="190">
        <v>2.1886529106700001</v>
      </c>
      <c r="C18" s="190">
        <v>0.95810921415999994</v>
      </c>
      <c r="D18" s="190">
        <v>0.49795678058999998</v>
      </c>
      <c r="E18" s="190">
        <v>0.40818472177999998</v>
      </c>
      <c r="F18" s="190">
        <v>0.21491512640999999</v>
      </c>
      <c r="G18" s="190">
        <v>0.20653109845000001</v>
      </c>
      <c r="H18" s="30"/>
      <c r="I18" s="30"/>
      <c r="J18" s="30"/>
      <c r="K18" s="30"/>
      <c r="L18" s="30"/>
      <c r="M18" s="30"/>
      <c r="N18" s="30"/>
      <c r="O18" s="30"/>
      <c r="P18" s="30"/>
      <c r="Q18" s="30"/>
    </row>
    <row r="19" spans="1:17" hidden="1" outlineLevel="4" x14ac:dyDescent="0.3">
      <c r="A19" s="189" t="s">
        <v>14</v>
      </c>
      <c r="B19" s="190">
        <v>12.77594024878</v>
      </c>
      <c r="C19" s="190">
        <v>3.8945280886</v>
      </c>
      <c r="D19" s="190">
        <v>1.54186965001</v>
      </c>
      <c r="E19" s="190">
        <v>0.89161945154</v>
      </c>
      <c r="F19" s="190">
        <v>0.78557080824000003</v>
      </c>
      <c r="G19" s="190">
        <v>0.54388792298999999</v>
      </c>
      <c r="H19" s="30"/>
      <c r="I19" s="30"/>
      <c r="J19" s="30"/>
      <c r="K19" s="30"/>
      <c r="L19" s="30"/>
      <c r="M19" s="30"/>
      <c r="N19" s="30"/>
      <c r="O19" s="30"/>
      <c r="P19" s="30"/>
      <c r="Q19" s="30"/>
    </row>
    <row r="20" spans="1:17" hidden="1" outlineLevel="4" x14ac:dyDescent="0.3">
      <c r="A20" s="189" t="s">
        <v>15</v>
      </c>
      <c r="B20" s="190">
        <v>0</v>
      </c>
      <c r="C20" s="190">
        <v>16.466706656589999</v>
      </c>
      <c r="D20" s="190">
        <v>11.108020177829999</v>
      </c>
      <c r="E20" s="190">
        <v>9.7920963607099996</v>
      </c>
      <c r="F20" s="190">
        <v>8.6274307261400001</v>
      </c>
      <c r="G20" s="190">
        <v>8.28854349621</v>
      </c>
      <c r="H20" s="30"/>
      <c r="I20" s="30"/>
      <c r="J20" s="30"/>
      <c r="K20" s="30"/>
      <c r="L20" s="30"/>
      <c r="M20" s="30"/>
      <c r="N20" s="30"/>
      <c r="O20" s="30"/>
      <c r="P20" s="30"/>
      <c r="Q20" s="30"/>
    </row>
    <row r="21" spans="1:17" hidden="1" outlineLevel="4" x14ac:dyDescent="0.3">
      <c r="A21" s="189" t="s">
        <v>16</v>
      </c>
      <c r="B21" s="190">
        <v>0</v>
      </c>
      <c r="C21" s="190">
        <v>0</v>
      </c>
      <c r="D21" s="190">
        <v>12.22269147548</v>
      </c>
      <c r="E21" s="190">
        <v>5.6357007039399996</v>
      </c>
      <c r="F21" s="190">
        <v>1.9097038901600001</v>
      </c>
      <c r="G21" s="190">
        <v>0.79766661400000005</v>
      </c>
      <c r="H21" s="30"/>
      <c r="I21" s="30"/>
      <c r="J21" s="30"/>
      <c r="K21" s="30"/>
      <c r="L21" s="30"/>
      <c r="M21" s="30"/>
      <c r="N21" s="30"/>
      <c r="O21" s="30"/>
      <c r="P21" s="30"/>
      <c r="Q21" s="30"/>
    </row>
    <row r="22" spans="1:17" hidden="1" outlineLevel="4" x14ac:dyDescent="0.3">
      <c r="A22" s="189" t="s">
        <v>17</v>
      </c>
      <c r="B22" s="190">
        <v>0</v>
      </c>
      <c r="C22" s="190">
        <v>0</v>
      </c>
      <c r="D22" s="190">
        <v>0</v>
      </c>
      <c r="E22" s="190">
        <v>14.62567353641</v>
      </c>
      <c r="F22" s="190">
        <v>7.6552119784099997</v>
      </c>
      <c r="G22" s="190">
        <v>4.9000576326600003</v>
      </c>
      <c r="H22" s="30"/>
      <c r="I22" s="30"/>
      <c r="J22" s="30"/>
      <c r="K22" s="30"/>
      <c r="L22" s="30"/>
      <c r="M22" s="30"/>
      <c r="N22" s="30"/>
      <c r="O22" s="30"/>
      <c r="P22" s="30"/>
      <c r="Q22" s="30"/>
    </row>
    <row r="23" spans="1:17" hidden="1" outlineLevel="4" x14ac:dyDescent="0.3">
      <c r="A23" s="189" t="s">
        <v>18</v>
      </c>
      <c r="B23" s="190">
        <v>0</v>
      </c>
      <c r="C23" s="190">
        <v>0</v>
      </c>
      <c r="D23" s="190">
        <v>0</v>
      </c>
      <c r="E23" s="190">
        <v>0</v>
      </c>
      <c r="F23" s="190">
        <v>11.74010824178</v>
      </c>
      <c r="G23" s="190">
        <v>9.5023788907599993</v>
      </c>
      <c r="H23" s="30"/>
      <c r="I23" s="30"/>
      <c r="J23" s="30"/>
      <c r="K23" s="30"/>
      <c r="L23" s="30"/>
      <c r="M23" s="30"/>
      <c r="N23" s="30"/>
      <c r="O23" s="30"/>
      <c r="P23" s="30"/>
      <c r="Q23" s="30"/>
    </row>
    <row r="24" spans="1:17" hidden="1" outlineLevel="4" x14ac:dyDescent="0.3">
      <c r="A24" s="189" t="s">
        <v>19</v>
      </c>
      <c r="B24" s="190">
        <v>0</v>
      </c>
      <c r="C24" s="190">
        <v>0</v>
      </c>
      <c r="D24" s="190">
        <v>0</v>
      </c>
      <c r="E24" s="190">
        <v>0</v>
      </c>
      <c r="F24" s="190">
        <v>0</v>
      </c>
      <c r="G24" s="190">
        <v>6.4170360243999998</v>
      </c>
      <c r="H24" s="30"/>
      <c r="I24" s="30"/>
      <c r="J24" s="30"/>
      <c r="K24" s="30"/>
      <c r="L24" s="30"/>
      <c r="M24" s="30"/>
      <c r="N24" s="30"/>
      <c r="O24" s="30"/>
      <c r="P24" s="30"/>
      <c r="Q24" s="30"/>
    </row>
    <row r="25" spans="1:17" hidden="1" outlineLevel="3" x14ac:dyDescent="0.3">
      <c r="A25" s="191" t="s">
        <v>20</v>
      </c>
      <c r="B25" s="190">
        <f t="shared" ref="B25:G25" si="4">SUM(B$26:B$26)</f>
        <v>5.9876443610000003E-2</v>
      </c>
      <c r="C25" s="190">
        <f t="shared" si="4"/>
        <v>4.4139631659999998E-2</v>
      </c>
      <c r="D25" s="190">
        <f t="shared" si="4"/>
        <v>3.7600313449999999E-2</v>
      </c>
      <c r="E25" s="190">
        <f t="shared" si="4"/>
        <v>3.3118378109999999E-2</v>
      </c>
      <c r="F25" s="190">
        <f t="shared" si="4"/>
        <v>2.6526635949999999E-2</v>
      </c>
      <c r="G25" s="190">
        <f t="shared" si="4"/>
        <v>2.421721814E-2</v>
      </c>
      <c r="H25" s="30"/>
      <c r="I25" s="30"/>
      <c r="J25" s="30"/>
      <c r="K25" s="30"/>
      <c r="L25" s="30"/>
      <c r="M25" s="30"/>
      <c r="N25" s="30"/>
      <c r="O25" s="30"/>
      <c r="P25" s="30"/>
      <c r="Q25" s="30"/>
    </row>
    <row r="26" spans="1:17" hidden="1" outlineLevel="4" x14ac:dyDescent="0.3">
      <c r="A26" s="189" t="s">
        <v>21</v>
      </c>
      <c r="B26" s="190">
        <v>5.9876443610000003E-2</v>
      </c>
      <c r="C26" s="190">
        <v>4.4139631659999998E-2</v>
      </c>
      <c r="D26" s="190">
        <v>3.7600313449999999E-2</v>
      </c>
      <c r="E26" s="190">
        <v>3.3118378109999999E-2</v>
      </c>
      <c r="F26" s="190">
        <v>2.6526635949999999E-2</v>
      </c>
      <c r="G26" s="190">
        <v>2.421721814E-2</v>
      </c>
      <c r="H26" s="30"/>
      <c r="I26" s="30"/>
      <c r="J26" s="30"/>
      <c r="K26" s="30"/>
      <c r="L26" s="30"/>
      <c r="M26" s="30"/>
      <c r="N26" s="30"/>
      <c r="O26" s="30"/>
      <c r="P26" s="30"/>
      <c r="Q26" s="30"/>
    </row>
    <row r="27" spans="1:17" ht="14.4" outlineLevel="2" collapsed="1" x14ac:dyDescent="0.3">
      <c r="A27" s="200" t="s">
        <v>22</v>
      </c>
      <c r="B27" s="201">
        <f t="shared" ref="B27:G27" si="5">B$28+B$39+B$50+B$52+B$59+B$68+B$70</f>
        <v>42.045659679549999</v>
      </c>
      <c r="C27" s="201">
        <f t="shared" si="5"/>
        <v>59.701763225889998</v>
      </c>
      <c r="D27" s="201">
        <f t="shared" si="5"/>
        <v>85.301404639149993</v>
      </c>
      <c r="E27" s="201">
        <f t="shared" si="5"/>
        <v>109.94118958615</v>
      </c>
      <c r="F27" s="201">
        <f t="shared" si="5"/>
        <v>136.36710223974001</v>
      </c>
      <c r="G27" s="201">
        <f t="shared" si="5"/>
        <v>141.51231587689998</v>
      </c>
      <c r="H27" s="30"/>
      <c r="I27" s="30"/>
      <c r="J27" s="30"/>
      <c r="K27" s="30"/>
      <c r="L27" s="30"/>
      <c r="M27" s="30"/>
      <c r="N27" s="30"/>
      <c r="O27" s="30"/>
      <c r="P27" s="30"/>
      <c r="Q27" s="30"/>
    </row>
    <row r="28" spans="1:17" hidden="1" outlineLevel="3" x14ac:dyDescent="0.3">
      <c r="A28" s="191" t="s">
        <v>23</v>
      </c>
      <c r="B28" s="190">
        <f t="shared" ref="B28:G28" si="6">SUM(B$29:B$38)</f>
        <v>14.978297777889999</v>
      </c>
      <c r="C28" s="190">
        <f t="shared" si="6"/>
        <v>28.247192836110003</v>
      </c>
      <c r="D28" s="190">
        <f t="shared" si="6"/>
        <v>53.368675348890001</v>
      </c>
      <c r="E28" s="190">
        <f t="shared" si="6"/>
        <v>79.268731043230005</v>
      </c>
      <c r="F28" s="190">
        <f t="shared" si="6"/>
        <v>104.98651146618002</v>
      </c>
      <c r="G28" s="190">
        <f t="shared" si="6"/>
        <v>109.78404993445</v>
      </c>
      <c r="H28" s="30"/>
      <c r="I28" s="30"/>
      <c r="J28" s="30"/>
      <c r="K28" s="30"/>
      <c r="L28" s="30"/>
      <c r="M28" s="30"/>
      <c r="N28" s="30"/>
      <c r="O28" s="30"/>
      <c r="P28" s="30"/>
      <c r="Q28" s="30"/>
    </row>
    <row r="29" spans="1:17" hidden="1" outlineLevel="4" x14ac:dyDescent="0.3">
      <c r="A29" s="189" t="s">
        <v>24</v>
      </c>
      <c r="B29" s="190">
        <v>2E-3</v>
      </c>
      <c r="C29" s="190">
        <v>2E-3</v>
      </c>
      <c r="D29" s="190">
        <v>6.0038095200000002E-3</v>
      </c>
      <c r="E29" s="190">
        <v>1.0969691720000001E-2</v>
      </c>
      <c r="F29" s="190">
        <v>9.7508370799999997E-3</v>
      </c>
      <c r="G29" s="190">
        <v>9.1414097600000001E-3</v>
      </c>
      <c r="H29" s="30"/>
      <c r="I29" s="30"/>
      <c r="J29" s="30"/>
      <c r="K29" s="30"/>
      <c r="L29" s="30"/>
      <c r="M29" s="30"/>
      <c r="N29" s="30"/>
      <c r="O29" s="30"/>
      <c r="P29" s="30"/>
      <c r="Q29" s="30"/>
    </row>
    <row r="30" spans="1:17" hidden="1" outlineLevel="4" x14ac:dyDescent="0.3">
      <c r="A30" s="189" t="s">
        <v>25</v>
      </c>
      <c r="B30" s="190">
        <v>0</v>
      </c>
      <c r="C30" s="190">
        <v>0</v>
      </c>
      <c r="D30" s="190">
        <v>0</v>
      </c>
      <c r="E30" s="190">
        <v>0.115800613</v>
      </c>
      <c r="F30" s="190">
        <v>0.45867201299999999</v>
      </c>
      <c r="G30" s="190">
        <v>0.51217201300000004</v>
      </c>
      <c r="H30" s="30"/>
      <c r="I30" s="30"/>
      <c r="J30" s="30"/>
      <c r="K30" s="30"/>
      <c r="L30" s="30"/>
      <c r="M30" s="30"/>
      <c r="N30" s="30"/>
      <c r="O30" s="30"/>
      <c r="P30" s="30"/>
      <c r="Q30" s="30"/>
    </row>
    <row r="31" spans="1:17" hidden="1" outlineLevel="4" x14ac:dyDescent="0.3">
      <c r="A31" s="189" t="s">
        <v>26</v>
      </c>
      <c r="B31" s="190">
        <v>0.34078560498999999</v>
      </c>
      <c r="C31" s="190">
        <v>0.24274072054000001</v>
      </c>
      <c r="D31" s="190">
        <v>0.17434967852</v>
      </c>
      <c r="E31" s="190">
        <v>9.6802158400000005E-2</v>
      </c>
      <c r="F31" s="190">
        <v>5.3599998090000003E-2</v>
      </c>
      <c r="G31" s="190">
        <v>5.7070690479999998E-2</v>
      </c>
      <c r="H31" s="30"/>
      <c r="I31" s="30"/>
      <c r="J31" s="30"/>
      <c r="K31" s="30"/>
      <c r="L31" s="30"/>
      <c r="M31" s="30"/>
      <c r="N31" s="30"/>
      <c r="O31" s="30"/>
      <c r="P31" s="30"/>
      <c r="Q31" s="30"/>
    </row>
    <row r="32" spans="1:17" hidden="1" outlineLevel="4" x14ac:dyDescent="0.3">
      <c r="A32" s="189" t="s">
        <v>27</v>
      </c>
      <c r="B32" s="190">
        <v>0.89594536165000005</v>
      </c>
      <c r="C32" s="190">
        <v>2.5192342294899999</v>
      </c>
      <c r="D32" s="190">
        <v>2.7264594142099998</v>
      </c>
      <c r="E32" s="190">
        <v>2.8254275210599999</v>
      </c>
      <c r="F32" s="190">
        <v>2.8578937139099998</v>
      </c>
      <c r="G32" s="190">
        <v>2.7831450965100002</v>
      </c>
      <c r="H32" s="30"/>
      <c r="I32" s="30"/>
      <c r="J32" s="30"/>
      <c r="K32" s="30"/>
      <c r="L32" s="30"/>
      <c r="M32" s="30"/>
      <c r="N32" s="30"/>
      <c r="O32" s="30"/>
      <c r="P32" s="30"/>
      <c r="Q32" s="30"/>
    </row>
    <row r="33" spans="1:17" hidden="1" outlineLevel="4" x14ac:dyDescent="0.3">
      <c r="A33" s="189" t="s">
        <v>28</v>
      </c>
      <c r="B33" s="190">
        <v>4.41</v>
      </c>
      <c r="C33" s="190">
        <v>11.61</v>
      </c>
      <c r="D33" s="190">
        <v>29.61</v>
      </c>
      <c r="E33" s="190">
        <v>42.121521428000001</v>
      </c>
      <c r="F33" s="190">
        <v>52.173401300000002</v>
      </c>
      <c r="G33" s="190">
        <v>54.565923224000002</v>
      </c>
      <c r="H33" s="30"/>
      <c r="I33" s="30"/>
      <c r="J33" s="30"/>
      <c r="K33" s="30"/>
      <c r="L33" s="30"/>
      <c r="M33" s="30"/>
      <c r="N33" s="30"/>
      <c r="O33" s="30"/>
      <c r="P33" s="30"/>
      <c r="Q33" s="30"/>
    </row>
    <row r="34" spans="1:17" hidden="1" outlineLevel="4" x14ac:dyDescent="0.3">
      <c r="A34" s="189" t="s">
        <v>29</v>
      </c>
      <c r="B34" s="190">
        <v>0</v>
      </c>
      <c r="C34" s="190">
        <v>0</v>
      </c>
      <c r="D34" s="190">
        <v>0</v>
      </c>
      <c r="E34" s="190">
        <v>0</v>
      </c>
      <c r="F34" s="190">
        <v>18.115696101000001</v>
      </c>
      <c r="G34" s="190">
        <v>17.946986641190001</v>
      </c>
      <c r="H34" s="30"/>
      <c r="I34" s="30"/>
      <c r="J34" s="30"/>
      <c r="K34" s="30"/>
      <c r="L34" s="30"/>
      <c r="M34" s="30"/>
      <c r="N34" s="30"/>
      <c r="O34" s="30"/>
      <c r="P34" s="30"/>
      <c r="Q34" s="30"/>
    </row>
    <row r="35" spans="1:17" hidden="1" outlineLevel="4" x14ac:dyDescent="0.3">
      <c r="A35" s="189" t="s">
        <v>30</v>
      </c>
      <c r="B35" s="190">
        <v>0</v>
      </c>
      <c r="C35" s="190">
        <v>0.54133468191</v>
      </c>
      <c r="D35" s="190">
        <v>0.94565468191000002</v>
      </c>
      <c r="E35" s="190">
        <v>5.5417635381699997</v>
      </c>
      <c r="F35" s="190">
        <v>5.6799099810599998</v>
      </c>
      <c r="G35" s="190">
        <v>5.6608760975400001</v>
      </c>
      <c r="H35" s="30"/>
      <c r="I35" s="30"/>
      <c r="J35" s="30"/>
      <c r="K35" s="30"/>
      <c r="L35" s="30"/>
      <c r="M35" s="30"/>
      <c r="N35" s="30"/>
      <c r="O35" s="30"/>
      <c r="P35" s="30"/>
      <c r="Q35" s="30"/>
    </row>
    <row r="36" spans="1:17" hidden="1" outlineLevel="4" x14ac:dyDescent="0.3">
      <c r="A36" s="189" t="s">
        <v>31</v>
      </c>
      <c r="B36" s="190">
        <v>5.4298172652899996</v>
      </c>
      <c r="C36" s="190">
        <v>7.2496303395800004</v>
      </c>
      <c r="D36" s="190">
        <v>10.80245980388</v>
      </c>
      <c r="E36" s="190">
        <v>15.480107561500001</v>
      </c>
      <c r="F36" s="190">
        <v>14.019961889739999</v>
      </c>
      <c r="G36" s="190">
        <v>15.59502004292</v>
      </c>
      <c r="H36" s="30"/>
      <c r="I36" s="30"/>
      <c r="J36" s="30"/>
      <c r="K36" s="30"/>
      <c r="L36" s="30"/>
      <c r="M36" s="30"/>
      <c r="N36" s="30"/>
      <c r="O36" s="30"/>
      <c r="P36" s="30"/>
      <c r="Q36" s="30"/>
    </row>
    <row r="37" spans="1:17" hidden="1" outlineLevel="4" x14ac:dyDescent="0.3">
      <c r="A37" s="189" t="s">
        <v>32</v>
      </c>
      <c r="B37" s="190">
        <v>3.84840885327</v>
      </c>
      <c r="C37" s="190">
        <v>6.0094143316400004</v>
      </c>
      <c r="D37" s="190">
        <v>9.0009999057600005</v>
      </c>
      <c r="E37" s="190">
        <v>12.96705050906</v>
      </c>
      <c r="F37" s="190">
        <v>11.529000814990001</v>
      </c>
      <c r="G37" s="190">
        <v>12.57172240657</v>
      </c>
      <c r="H37" s="30"/>
      <c r="I37" s="30"/>
      <c r="J37" s="30"/>
      <c r="K37" s="30"/>
      <c r="L37" s="30"/>
      <c r="M37" s="30"/>
      <c r="N37" s="30"/>
      <c r="O37" s="30"/>
      <c r="P37" s="30"/>
      <c r="Q37" s="30"/>
    </row>
    <row r="38" spans="1:17" hidden="1" outlineLevel="4" x14ac:dyDescent="0.3">
      <c r="A38" s="189" t="s">
        <v>33</v>
      </c>
      <c r="B38" s="190">
        <v>5.1340692690000002E-2</v>
      </c>
      <c r="C38" s="190">
        <v>7.2838532950000007E-2</v>
      </c>
      <c r="D38" s="190">
        <v>0.10274805509</v>
      </c>
      <c r="E38" s="190">
        <v>0.10928802232</v>
      </c>
      <c r="F38" s="190">
        <v>8.8624817310000006E-2</v>
      </c>
      <c r="G38" s="190">
        <v>8.1992312479999996E-2</v>
      </c>
      <c r="H38" s="30"/>
      <c r="I38" s="30"/>
      <c r="J38" s="30"/>
      <c r="K38" s="30"/>
      <c r="L38" s="30"/>
      <c r="M38" s="30"/>
      <c r="N38" s="30"/>
      <c r="O38" s="30"/>
      <c r="P38" s="30"/>
      <c r="Q38" s="30"/>
    </row>
    <row r="39" spans="1:17" hidden="1" outlineLevel="3" x14ac:dyDescent="0.3">
      <c r="A39" s="191" t="s">
        <v>34</v>
      </c>
      <c r="B39" s="190">
        <f t="shared" ref="B39:G39" si="7">SUM(B$40:B$49)</f>
        <v>0.78335921188000002</v>
      </c>
      <c r="C39" s="190">
        <f t="shared" si="7"/>
        <v>4.1207021100899999</v>
      </c>
      <c r="D39" s="190">
        <f t="shared" si="7"/>
        <v>5.6851358851900002</v>
      </c>
      <c r="E39" s="190">
        <f t="shared" si="7"/>
        <v>7.3020414477799997</v>
      </c>
      <c r="F39" s="190">
        <f t="shared" si="7"/>
        <v>6.8785409365600012</v>
      </c>
      <c r="G39" s="190">
        <f t="shared" si="7"/>
        <v>6.91647979658</v>
      </c>
      <c r="H39" s="30"/>
      <c r="I39" s="30"/>
      <c r="J39" s="30"/>
      <c r="K39" s="30"/>
      <c r="L39" s="30"/>
      <c r="M39" s="30"/>
      <c r="N39" s="30"/>
      <c r="O39" s="30"/>
      <c r="P39" s="30"/>
      <c r="Q39" s="30"/>
    </row>
    <row r="40" spans="1:17" hidden="1" outlineLevel="4" x14ac:dyDescent="0.3">
      <c r="A40" s="189" t="s">
        <v>35</v>
      </c>
      <c r="B40" s="190">
        <v>1.807724456E-2</v>
      </c>
      <c r="C40" s="190">
        <v>2.075615108E-2</v>
      </c>
      <c r="D40" s="190">
        <v>2.110612941E-2</v>
      </c>
      <c r="E40" s="190">
        <v>2.2847088349999999E-2</v>
      </c>
      <c r="F40" s="190">
        <v>2.1821977919999999E-2</v>
      </c>
      <c r="G40" s="190">
        <v>2.2184847349999998E-2</v>
      </c>
      <c r="H40" s="30"/>
      <c r="I40" s="30"/>
      <c r="J40" s="30"/>
      <c r="K40" s="30"/>
      <c r="L40" s="30"/>
      <c r="M40" s="30"/>
      <c r="N40" s="30"/>
      <c r="O40" s="30"/>
      <c r="P40" s="30"/>
      <c r="Q40" s="30"/>
    </row>
    <row r="41" spans="1:17" hidden="1" outlineLevel="4" x14ac:dyDescent="0.3">
      <c r="A41" s="189" t="s">
        <v>36</v>
      </c>
      <c r="B41" s="190">
        <v>0</v>
      </c>
      <c r="C41" s="190">
        <v>0.2</v>
      </c>
      <c r="D41" s="190">
        <v>0.2</v>
      </c>
      <c r="E41" s="190">
        <v>0.2</v>
      </c>
      <c r="F41" s="190">
        <v>0.2</v>
      </c>
      <c r="G41" s="190">
        <v>0.2</v>
      </c>
      <c r="H41" s="30"/>
      <c r="I41" s="30"/>
      <c r="J41" s="30"/>
      <c r="K41" s="30"/>
      <c r="L41" s="30"/>
      <c r="M41" s="30"/>
      <c r="N41" s="30"/>
      <c r="O41" s="30"/>
      <c r="P41" s="30"/>
      <c r="Q41" s="30"/>
    </row>
    <row r="42" spans="1:17" hidden="1" outlineLevel="4" x14ac:dyDescent="0.3">
      <c r="A42" s="189" t="s">
        <v>37</v>
      </c>
      <c r="B42" s="190">
        <v>0</v>
      </c>
      <c r="C42" s="190">
        <v>1.7158941452400001</v>
      </c>
      <c r="D42" s="190">
        <v>3.31341837111</v>
      </c>
      <c r="E42" s="190">
        <v>4.8661955787100002</v>
      </c>
      <c r="F42" s="190">
        <v>4.52135099802</v>
      </c>
      <c r="G42" s="190">
        <v>4.5223509039399996</v>
      </c>
      <c r="H42" s="30"/>
      <c r="I42" s="30"/>
      <c r="J42" s="30"/>
      <c r="K42" s="30"/>
      <c r="L42" s="30"/>
      <c r="M42" s="30"/>
      <c r="N42" s="30"/>
      <c r="O42" s="30"/>
      <c r="P42" s="30"/>
      <c r="Q42" s="30"/>
    </row>
    <row r="43" spans="1:17" hidden="1" outlineLevel="4" x14ac:dyDescent="0.3">
      <c r="A43" s="189" t="s">
        <v>38</v>
      </c>
      <c r="B43" s="190">
        <v>0</v>
      </c>
      <c r="C43" s="190">
        <v>0.2</v>
      </c>
      <c r="D43" s="190">
        <v>0.2</v>
      </c>
      <c r="E43" s="190">
        <v>0.2</v>
      </c>
      <c r="F43" s="190">
        <v>0.2</v>
      </c>
      <c r="G43" s="190">
        <v>0.2</v>
      </c>
      <c r="H43" s="30"/>
      <c r="I43" s="30"/>
      <c r="J43" s="30"/>
      <c r="K43" s="30"/>
      <c r="L43" s="30"/>
      <c r="M43" s="30"/>
      <c r="N43" s="30"/>
      <c r="O43" s="30"/>
      <c r="P43" s="30"/>
      <c r="Q43" s="30"/>
    </row>
    <row r="44" spans="1:17" hidden="1" outlineLevel="4" x14ac:dyDescent="0.3">
      <c r="A44" s="189" t="s">
        <v>39</v>
      </c>
      <c r="B44" s="190">
        <v>0.25291148704999999</v>
      </c>
      <c r="C44" s="190">
        <v>0.55095155248000005</v>
      </c>
      <c r="D44" s="190">
        <v>0.56195969380999999</v>
      </c>
      <c r="E44" s="190">
        <v>0.56220061099999996</v>
      </c>
      <c r="F44" s="190">
        <v>0.56620331558000003</v>
      </c>
      <c r="G44" s="190">
        <v>0.56880510896000003</v>
      </c>
      <c r="H44" s="30"/>
      <c r="I44" s="30"/>
      <c r="J44" s="30"/>
      <c r="K44" s="30"/>
      <c r="L44" s="30"/>
      <c r="M44" s="30"/>
      <c r="N44" s="30"/>
      <c r="O44" s="30"/>
      <c r="P44" s="30"/>
      <c r="Q44" s="30"/>
    </row>
    <row r="45" spans="1:17" hidden="1" outlineLevel="4" x14ac:dyDescent="0.3">
      <c r="A45" s="189" t="s">
        <v>40</v>
      </c>
      <c r="B45" s="190">
        <v>3.6913775879999999E-2</v>
      </c>
      <c r="C45" s="190">
        <v>4.9811299830000003E-2</v>
      </c>
      <c r="D45" s="190">
        <v>8.7243385000000007E-2</v>
      </c>
      <c r="E45" s="190">
        <v>9.9322208709999998E-2</v>
      </c>
      <c r="F45" s="190">
        <v>0.1120631207</v>
      </c>
      <c r="G45" s="190">
        <v>0.12146338055</v>
      </c>
      <c r="H45" s="30"/>
      <c r="I45" s="30"/>
      <c r="J45" s="30"/>
      <c r="K45" s="30"/>
      <c r="L45" s="30"/>
      <c r="M45" s="30"/>
      <c r="N45" s="30"/>
      <c r="O45" s="30"/>
      <c r="P45" s="30"/>
      <c r="Q45" s="30"/>
    </row>
    <row r="46" spans="1:17" hidden="1" outlineLevel="4" x14ac:dyDescent="0.3">
      <c r="A46" s="189" t="s">
        <v>41</v>
      </c>
      <c r="B46" s="190">
        <v>0</v>
      </c>
      <c r="C46" s="190">
        <v>0</v>
      </c>
      <c r="D46" s="190">
        <v>0</v>
      </c>
      <c r="E46" s="190">
        <v>9.5702831540000005E-2</v>
      </c>
      <c r="F46" s="190">
        <v>8.5019606270000006E-2</v>
      </c>
      <c r="G46" s="190">
        <v>8.5871543009999995E-2</v>
      </c>
      <c r="H46" s="30"/>
      <c r="I46" s="30"/>
      <c r="J46" s="30"/>
      <c r="K46" s="30"/>
      <c r="L46" s="30"/>
      <c r="M46" s="30"/>
      <c r="N46" s="30"/>
      <c r="O46" s="30"/>
      <c r="P46" s="30"/>
      <c r="Q46" s="30"/>
    </row>
    <row r="47" spans="1:17" hidden="1" outlineLevel="4" x14ac:dyDescent="0.3">
      <c r="A47" s="189" t="s">
        <v>42</v>
      </c>
      <c r="B47" s="190">
        <v>4.1686133000000002E-4</v>
      </c>
      <c r="C47" s="190">
        <v>4.4365116E-4</v>
      </c>
      <c r="D47" s="190">
        <v>4.2524631000000001E-4</v>
      </c>
      <c r="E47" s="190">
        <v>4.9049160999999997E-4</v>
      </c>
      <c r="F47" s="190">
        <v>4.3573845000000001E-4</v>
      </c>
      <c r="G47" s="190">
        <v>4.4010476999999999E-4</v>
      </c>
      <c r="H47" s="30"/>
      <c r="I47" s="30"/>
      <c r="J47" s="30"/>
      <c r="K47" s="30"/>
      <c r="L47" s="30"/>
      <c r="M47" s="30"/>
      <c r="N47" s="30"/>
      <c r="O47" s="30"/>
      <c r="P47" s="30"/>
      <c r="Q47" s="30"/>
    </row>
    <row r="48" spans="1:17" hidden="1" outlineLevel="4" x14ac:dyDescent="0.3">
      <c r="A48" s="189" t="s">
        <v>43</v>
      </c>
      <c r="B48" s="190">
        <v>3.5015570980000001E-2</v>
      </c>
      <c r="C48" s="190">
        <v>0.44596422556999998</v>
      </c>
      <c r="D48" s="190">
        <v>0.44944446154000001</v>
      </c>
      <c r="E48" s="190">
        <v>0.44507740009000002</v>
      </c>
      <c r="F48" s="190">
        <v>0.44456468052999998</v>
      </c>
      <c r="G48" s="190">
        <v>0.46966856548000002</v>
      </c>
      <c r="H48" s="30"/>
      <c r="I48" s="30"/>
      <c r="J48" s="30"/>
      <c r="K48" s="30"/>
      <c r="L48" s="30"/>
      <c r="M48" s="30"/>
      <c r="N48" s="30"/>
      <c r="O48" s="30"/>
      <c r="P48" s="30"/>
      <c r="Q48" s="30"/>
    </row>
    <row r="49" spans="1:17" hidden="1" outlineLevel="4" x14ac:dyDescent="0.3">
      <c r="A49" s="189" t="s">
        <v>44</v>
      </c>
      <c r="B49" s="190">
        <v>0.44002427208</v>
      </c>
      <c r="C49" s="190">
        <v>0.93688108472999998</v>
      </c>
      <c r="D49" s="190">
        <v>0.85153859800999998</v>
      </c>
      <c r="E49" s="190">
        <v>0.81020523776999998</v>
      </c>
      <c r="F49" s="190">
        <v>0.72708149908999997</v>
      </c>
      <c r="G49" s="190">
        <v>0.72569534252000001</v>
      </c>
      <c r="H49" s="30"/>
      <c r="I49" s="30"/>
      <c r="J49" s="30"/>
      <c r="K49" s="30"/>
      <c r="L49" s="30"/>
      <c r="M49" s="30"/>
      <c r="N49" s="30"/>
      <c r="O49" s="30"/>
      <c r="P49" s="30"/>
      <c r="Q49" s="30"/>
    </row>
    <row r="50" spans="1:17" hidden="1" outlineLevel="3" x14ac:dyDescent="0.3">
      <c r="A50" s="191" t="s">
        <v>45</v>
      </c>
      <c r="B50" s="190">
        <f t="shared" ref="B50:G50" si="8">SUM(B$51:B$51)</f>
        <v>0.53445238500000003</v>
      </c>
      <c r="C50" s="190">
        <f t="shared" si="8"/>
        <v>0.56879927606000003</v>
      </c>
      <c r="D50" s="190">
        <f t="shared" si="8"/>
        <v>0.54520266625000002</v>
      </c>
      <c r="E50" s="190">
        <f t="shared" si="8"/>
        <v>0.57982121308000001</v>
      </c>
      <c r="F50" s="190">
        <f t="shared" si="8"/>
        <v>0.51509626673999998</v>
      </c>
      <c r="G50" s="190">
        <f t="shared" si="8"/>
        <v>0.52025777539999996</v>
      </c>
      <c r="H50" s="30"/>
      <c r="I50" s="30"/>
      <c r="J50" s="30"/>
      <c r="K50" s="30"/>
      <c r="L50" s="30"/>
      <c r="M50" s="30"/>
      <c r="N50" s="30"/>
      <c r="O50" s="30"/>
      <c r="P50" s="30"/>
      <c r="Q50" s="30"/>
    </row>
    <row r="51" spans="1:17" hidden="1" outlineLevel="4" x14ac:dyDescent="0.3">
      <c r="A51" s="189" t="s">
        <v>46</v>
      </c>
      <c r="B51" s="190">
        <v>0.53445238500000003</v>
      </c>
      <c r="C51" s="190">
        <v>0.56879927606000003</v>
      </c>
      <c r="D51" s="190">
        <v>0.54520266625000002</v>
      </c>
      <c r="E51" s="190">
        <v>0.57982121308000001</v>
      </c>
      <c r="F51" s="190">
        <v>0.51509626673999998</v>
      </c>
      <c r="G51" s="190">
        <v>0.52025777539999996</v>
      </c>
      <c r="H51" s="30"/>
      <c r="I51" s="30"/>
      <c r="J51" s="30"/>
      <c r="K51" s="30"/>
      <c r="L51" s="30"/>
      <c r="M51" s="30"/>
      <c r="N51" s="30"/>
      <c r="O51" s="30"/>
      <c r="P51" s="30"/>
      <c r="Q51" s="30"/>
    </row>
    <row r="52" spans="1:17" hidden="1" outlineLevel="3" x14ac:dyDescent="0.3">
      <c r="A52" s="191" t="s">
        <v>47</v>
      </c>
      <c r="B52" s="190">
        <f t="shared" ref="B52:G52" si="9">SUM(B$53:B$58)</f>
        <v>1.6408436825199999</v>
      </c>
      <c r="C52" s="190">
        <f t="shared" si="9"/>
        <v>1.5501408188100001</v>
      </c>
      <c r="D52" s="190">
        <f t="shared" si="9"/>
        <v>1.4094135145800002</v>
      </c>
      <c r="E52" s="190">
        <f t="shared" si="9"/>
        <v>1.41508070474</v>
      </c>
      <c r="F52" s="190">
        <f t="shared" si="9"/>
        <v>1.8197134937400004</v>
      </c>
      <c r="G52" s="190">
        <f t="shared" si="9"/>
        <v>1.9038590604300001</v>
      </c>
      <c r="H52" s="30"/>
      <c r="I52" s="30"/>
      <c r="J52" s="30"/>
      <c r="K52" s="30"/>
      <c r="L52" s="30"/>
      <c r="M52" s="30"/>
      <c r="N52" s="30"/>
      <c r="O52" s="30"/>
      <c r="P52" s="30"/>
      <c r="Q52" s="30"/>
    </row>
    <row r="53" spans="1:17" hidden="1" outlineLevel="4" x14ac:dyDescent="0.3">
      <c r="A53" s="189" t="s">
        <v>48</v>
      </c>
      <c r="B53" s="190">
        <v>0.65</v>
      </c>
      <c r="C53" s="190">
        <v>0.65</v>
      </c>
      <c r="D53" s="190">
        <v>0.65</v>
      </c>
      <c r="E53" s="190">
        <v>0.65</v>
      </c>
      <c r="F53" s="190">
        <v>0.65</v>
      </c>
      <c r="G53" s="190">
        <v>0.65</v>
      </c>
      <c r="H53" s="30"/>
      <c r="I53" s="30"/>
      <c r="J53" s="30"/>
      <c r="K53" s="30"/>
      <c r="L53" s="30"/>
      <c r="M53" s="30"/>
      <c r="N53" s="30"/>
      <c r="O53" s="30"/>
      <c r="P53" s="30"/>
      <c r="Q53" s="30"/>
    </row>
    <row r="54" spans="1:17" hidden="1" outlineLevel="4" x14ac:dyDescent="0.3">
      <c r="A54" s="189" t="s">
        <v>49</v>
      </c>
      <c r="B54" s="190">
        <v>5.1129199999999998E-5</v>
      </c>
      <c r="C54" s="190">
        <v>5.1129199999999998E-5</v>
      </c>
      <c r="D54" s="190">
        <v>5.1129199999999998E-5</v>
      </c>
      <c r="E54" s="190">
        <v>5.1129199999999998E-5</v>
      </c>
      <c r="F54" s="190">
        <v>5.1129199999999998E-5</v>
      </c>
      <c r="G54" s="190">
        <v>5.1129199999999998E-5</v>
      </c>
      <c r="H54" s="30"/>
      <c r="I54" s="30"/>
      <c r="J54" s="30"/>
      <c r="K54" s="30"/>
      <c r="L54" s="30"/>
      <c r="M54" s="30"/>
      <c r="N54" s="30"/>
      <c r="O54" s="30"/>
      <c r="P54" s="30"/>
      <c r="Q54" s="30"/>
    </row>
    <row r="55" spans="1:17" hidden="1" outlineLevel="4" x14ac:dyDescent="0.3">
      <c r="A55" s="189" t="s">
        <v>50</v>
      </c>
      <c r="B55" s="190">
        <v>0</v>
      </c>
      <c r="C55" s="190">
        <v>0</v>
      </c>
      <c r="D55" s="190">
        <v>3.8862444100000002E-3</v>
      </c>
      <c r="E55" s="190">
        <v>6.4203637599999997E-3</v>
      </c>
      <c r="F55" s="190">
        <v>0.54479187672999996</v>
      </c>
      <c r="G55" s="190">
        <v>0.70836493834000003</v>
      </c>
      <c r="H55" s="30"/>
      <c r="I55" s="30"/>
      <c r="J55" s="30"/>
      <c r="K55" s="30"/>
      <c r="L55" s="30"/>
      <c r="M55" s="30"/>
      <c r="N55" s="30"/>
      <c r="O55" s="30"/>
      <c r="P55" s="30"/>
      <c r="Q55" s="30"/>
    </row>
    <row r="56" spans="1:17" hidden="1" outlineLevel="4" x14ac:dyDescent="0.3">
      <c r="A56" s="189" t="s">
        <v>51</v>
      </c>
      <c r="B56" s="190">
        <v>0.26238614787999998</v>
      </c>
      <c r="C56" s="190">
        <v>0.28492241866000001</v>
      </c>
      <c r="D56" s="190">
        <v>0.24376278176999999</v>
      </c>
      <c r="E56" s="190">
        <v>0.18459697305</v>
      </c>
      <c r="F56" s="190">
        <v>0.14609807548000001</v>
      </c>
      <c r="G56" s="190">
        <v>0.11912181824</v>
      </c>
      <c r="H56" s="30"/>
      <c r="I56" s="30"/>
      <c r="J56" s="30"/>
      <c r="K56" s="30"/>
      <c r="L56" s="30"/>
      <c r="M56" s="30"/>
      <c r="N56" s="30"/>
      <c r="O56" s="30"/>
      <c r="P56" s="30"/>
      <c r="Q56" s="30"/>
    </row>
    <row r="57" spans="1:17" hidden="1" outlineLevel="4" x14ac:dyDescent="0.3">
      <c r="A57" s="189" t="s">
        <v>52</v>
      </c>
      <c r="B57" s="190">
        <v>0.72840640544000002</v>
      </c>
      <c r="C57" s="190">
        <v>0.61516727095000001</v>
      </c>
      <c r="D57" s="190">
        <v>0.51171335920000005</v>
      </c>
      <c r="E57" s="190">
        <v>0.41418810038999998</v>
      </c>
      <c r="F57" s="190">
        <v>0.31666284158000002</v>
      </c>
      <c r="G57" s="190">
        <v>0.24381314707999999</v>
      </c>
      <c r="H57" s="30"/>
      <c r="I57" s="30"/>
      <c r="J57" s="30"/>
      <c r="K57" s="30"/>
      <c r="L57" s="30"/>
      <c r="M57" s="30"/>
      <c r="N57" s="30"/>
      <c r="O57" s="30"/>
      <c r="P57" s="30"/>
      <c r="Q57" s="30"/>
    </row>
    <row r="58" spans="1:17" hidden="1" outlineLevel="4" x14ac:dyDescent="0.3">
      <c r="A58" s="189" t="s">
        <v>53</v>
      </c>
      <c r="B58" s="190">
        <v>0</v>
      </c>
      <c r="C58" s="190">
        <v>0</v>
      </c>
      <c r="D58" s="190">
        <v>0</v>
      </c>
      <c r="E58" s="190">
        <v>0.15982413834</v>
      </c>
      <c r="F58" s="190">
        <v>0.16210957074999999</v>
      </c>
      <c r="G58" s="190">
        <v>0.18250802757000001</v>
      </c>
      <c r="H58" s="30"/>
      <c r="I58" s="30"/>
      <c r="J58" s="30"/>
      <c r="K58" s="30"/>
      <c r="L58" s="30"/>
      <c r="M58" s="30"/>
      <c r="N58" s="30"/>
      <c r="O58" s="30"/>
      <c r="P58" s="30"/>
      <c r="Q58" s="30"/>
    </row>
    <row r="59" spans="1:17" hidden="1" outlineLevel="3" x14ac:dyDescent="0.3">
      <c r="A59" s="191" t="s">
        <v>54</v>
      </c>
      <c r="B59" s="190">
        <f t="shared" ref="B59:G59" si="10">SUM(B$60:B$67)</f>
        <v>17.56546556452</v>
      </c>
      <c r="C59" s="190">
        <f t="shared" si="10"/>
        <v>18.454900367600001</v>
      </c>
      <c r="D59" s="190">
        <f t="shared" si="10"/>
        <v>17.782640877959999</v>
      </c>
      <c r="E59" s="190">
        <f t="shared" si="10"/>
        <v>14.56517192241</v>
      </c>
      <c r="F59" s="190">
        <f t="shared" si="10"/>
        <v>15.94172030451</v>
      </c>
      <c r="G59" s="190">
        <f t="shared" si="10"/>
        <v>16.101463895790001</v>
      </c>
      <c r="H59" s="30"/>
      <c r="I59" s="30"/>
      <c r="J59" s="30"/>
      <c r="K59" s="30"/>
      <c r="L59" s="30"/>
      <c r="M59" s="30"/>
      <c r="N59" s="30"/>
      <c r="O59" s="30"/>
      <c r="P59" s="30"/>
      <c r="Q59" s="30"/>
    </row>
    <row r="60" spans="1:17" hidden="1" outlineLevel="4" x14ac:dyDescent="0.3">
      <c r="A60" s="189" t="s">
        <v>55</v>
      </c>
      <c r="B60" s="190">
        <v>6.7586643899799999</v>
      </c>
      <c r="C60" s="190">
        <v>7.0981914255999996</v>
      </c>
      <c r="D60" s="190">
        <v>6.8037233056500002</v>
      </c>
      <c r="E60" s="190">
        <v>0</v>
      </c>
      <c r="F60" s="190">
        <v>0</v>
      </c>
      <c r="G60" s="190">
        <v>0</v>
      </c>
      <c r="H60" s="30"/>
      <c r="I60" s="30"/>
      <c r="J60" s="30"/>
      <c r="K60" s="30"/>
      <c r="L60" s="30"/>
      <c r="M60" s="30"/>
      <c r="N60" s="30"/>
      <c r="O60" s="30"/>
      <c r="P60" s="30"/>
      <c r="Q60" s="30"/>
    </row>
    <row r="61" spans="1:17" hidden="1" outlineLevel="4" x14ac:dyDescent="0.3">
      <c r="A61" s="189" t="s">
        <v>56</v>
      </c>
      <c r="B61" s="190">
        <v>2.6464333529499999</v>
      </c>
      <c r="C61" s="190">
        <v>2.8165079202099998</v>
      </c>
      <c r="D61" s="190">
        <v>2.6996652285499998</v>
      </c>
      <c r="E61" s="190">
        <v>0</v>
      </c>
      <c r="F61" s="190">
        <v>0</v>
      </c>
      <c r="G61" s="190">
        <v>0</v>
      </c>
      <c r="H61" s="30"/>
      <c r="I61" s="30"/>
      <c r="J61" s="30"/>
      <c r="K61" s="30"/>
      <c r="L61" s="30"/>
      <c r="M61" s="30"/>
      <c r="N61" s="30"/>
      <c r="O61" s="30"/>
      <c r="P61" s="30"/>
      <c r="Q61" s="30"/>
    </row>
    <row r="62" spans="1:17" hidden="1" outlineLevel="4" x14ac:dyDescent="0.3">
      <c r="A62" s="189" t="s">
        <v>57</v>
      </c>
      <c r="B62" s="190">
        <v>2.0730394598099999</v>
      </c>
      <c r="C62" s="190">
        <v>2.2062645374900001</v>
      </c>
      <c r="D62" s="190">
        <v>2.1147377623699999</v>
      </c>
      <c r="E62" s="190">
        <v>0</v>
      </c>
      <c r="F62" s="190">
        <v>0</v>
      </c>
      <c r="G62" s="190">
        <v>0</v>
      </c>
      <c r="H62" s="30"/>
      <c r="I62" s="30"/>
      <c r="J62" s="30"/>
      <c r="K62" s="30"/>
      <c r="L62" s="30"/>
      <c r="M62" s="30"/>
      <c r="N62" s="30"/>
      <c r="O62" s="30"/>
      <c r="P62" s="30"/>
      <c r="Q62" s="30"/>
    </row>
    <row r="63" spans="1:17" hidden="1" outlineLevel="4" x14ac:dyDescent="0.3">
      <c r="A63" s="189" t="s">
        <v>58</v>
      </c>
      <c r="B63" s="190">
        <v>1</v>
      </c>
      <c r="C63" s="190">
        <v>1</v>
      </c>
      <c r="D63" s="190">
        <v>1</v>
      </c>
      <c r="E63" s="190">
        <v>0</v>
      </c>
      <c r="F63" s="190">
        <v>0</v>
      </c>
      <c r="G63" s="190">
        <v>0</v>
      </c>
      <c r="H63" s="30"/>
      <c r="I63" s="30"/>
      <c r="J63" s="30"/>
      <c r="K63" s="30"/>
      <c r="L63" s="30"/>
      <c r="M63" s="30"/>
      <c r="N63" s="30"/>
      <c r="O63" s="30"/>
      <c r="P63" s="30"/>
      <c r="Q63" s="30"/>
    </row>
    <row r="64" spans="1:17" hidden="1" outlineLevel="4" x14ac:dyDescent="0.3">
      <c r="A64" s="189" t="s">
        <v>59</v>
      </c>
      <c r="B64" s="190">
        <v>3.54357557256</v>
      </c>
      <c r="C64" s="190">
        <v>3.69097353085</v>
      </c>
      <c r="D64" s="190">
        <v>3.5897098647400001</v>
      </c>
      <c r="E64" s="190">
        <v>0</v>
      </c>
      <c r="F64" s="190">
        <v>0</v>
      </c>
      <c r="G64" s="190">
        <v>0</v>
      </c>
      <c r="H64" s="30"/>
      <c r="I64" s="30"/>
      <c r="J64" s="30"/>
      <c r="K64" s="30"/>
      <c r="L64" s="30"/>
      <c r="M64" s="30"/>
      <c r="N64" s="30"/>
      <c r="O64" s="30"/>
      <c r="P64" s="30"/>
      <c r="Q64" s="30"/>
    </row>
    <row r="65" spans="1:17" hidden="1" outlineLevel="4" x14ac:dyDescent="0.3">
      <c r="A65" s="189" t="s">
        <v>60</v>
      </c>
      <c r="B65" s="190">
        <v>1.54375278922</v>
      </c>
      <c r="C65" s="190">
        <v>1.6429629534500001</v>
      </c>
      <c r="D65" s="190">
        <v>1.5748047166500001</v>
      </c>
      <c r="E65" s="190">
        <v>0</v>
      </c>
      <c r="F65" s="190">
        <v>0</v>
      </c>
      <c r="G65" s="190">
        <v>0</v>
      </c>
      <c r="H65" s="30"/>
      <c r="I65" s="30"/>
      <c r="J65" s="30"/>
      <c r="K65" s="30"/>
      <c r="L65" s="30"/>
      <c r="M65" s="30"/>
      <c r="N65" s="30"/>
      <c r="O65" s="30"/>
      <c r="P65" s="30"/>
      <c r="Q65" s="30"/>
    </row>
    <row r="66" spans="1:17" hidden="1" outlineLevel="4" x14ac:dyDescent="0.3">
      <c r="A66" s="189" t="s">
        <v>61</v>
      </c>
      <c r="B66" s="190">
        <v>0</v>
      </c>
      <c r="C66" s="190">
        <v>0</v>
      </c>
      <c r="D66" s="190">
        <v>0</v>
      </c>
      <c r="E66" s="190">
        <v>14.56517192241</v>
      </c>
      <c r="F66" s="190">
        <v>12.9680190208</v>
      </c>
      <c r="G66" s="190">
        <v>13.09796471616</v>
      </c>
      <c r="H66" s="30"/>
      <c r="I66" s="30"/>
      <c r="J66" s="30"/>
      <c r="K66" s="30"/>
      <c r="L66" s="30"/>
      <c r="M66" s="30"/>
      <c r="N66" s="30"/>
      <c r="O66" s="30"/>
      <c r="P66" s="30"/>
      <c r="Q66" s="30"/>
    </row>
    <row r="67" spans="1:17" hidden="1" outlineLevel="4" x14ac:dyDescent="0.3">
      <c r="A67" s="189" t="s">
        <v>62</v>
      </c>
      <c r="B67" s="190">
        <v>0</v>
      </c>
      <c r="C67" s="190">
        <v>0</v>
      </c>
      <c r="D67" s="190">
        <v>0</v>
      </c>
      <c r="E67" s="190">
        <v>0</v>
      </c>
      <c r="F67" s="190">
        <v>2.9737012837100001</v>
      </c>
      <c r="G67" s="190">
        <v>3.0034991796299999</v>
      </c>
      <c r="H67" s="30"/>
      <c r="I67" s="30"/>
      <c r="J67" s="30"/>
      <c r="K67" s="30"/>
      <c r="L67" s="30"/>
      <c r="M67" s="30"/>
      <c r="N67" s="30"/>
      <c r="O67" s="30"/>
      <c r="P67" s="30"/>
      <c r="Q67" s="30"/>
    </row>
    <row r="68" spans="1:17" hidden="1" outlineLevel="3" x14ac:dyDescent="0.3">
      <c r="A68" s="191" t="s">
        <v>63</v>
      </c>
      <c r="B68" s="190">
        <f t="shared" ref="B68:G68" si="11">SUM(B$69:B$69)</f>
        <v>2.6464333529499999</v>
      </c>
      <c r="C68" s="190">
        <f t="shared" si="11"/>
        <v>2.8165079202099998</v>
      </c>
      <c r="D68" s="190">
        <f t="shared" si="11"/>
        <v>2.6996652285499998</v>
      </c>
      <c r="E68" s="190">
        <f t="shared" si="11"/>
        <v>2.8710849462499999</v>
      </c>
      <c r="F68" s="190">
        <f t="shared" si="11"/>
        <v>2.5505881880999999</v>
      </c>
      <c r="G68" s="190">
        <f t="shared" si="11"/>
        <v>2.5761462903100001</v>
      </c>
      <c r="H68" s="30"/>
      <c r="I68" s="30"/>
      <c r="J68" s="30"/>
      <c r="K68" s="30"/>
      <c r="L68" s="30"/>
      <c r="M68" s="30"/>
      <c r="N68" s="30"/>
      <c r="O68" s="30"/>
      <c r="P68" s="30"/>
      <c r="Q68" s="30"/>
    </row>
    <row r="69" spans="1:17" hidden="1" outlineLevel="4" x14ac:dyDescent="0.3">
      <c r="A69" s="189" t="s">
        <v>64</v>
      </c>
      <c r="B69" s="190">
        <v>2.6464333529499999</v>
      </c>
      <c r="C69" s="190">
        <v>2.8165079202099998</v>
      </c>
      <c r="D69" s="190">
        <v>2.6996652285499998</v>
      </c>
      <c r="E69" s="190">
        <v>2.8710849462499999</v>
      </c>
      <c r="F69" s="190">
        <v>2.5505881880999999</v>
      </c>
      <c r="G69" s="190">
        <v>2.5761462903100001</v>
      </c>
      <c r="H69" s="30"/>
      <c r="I69" s="30"/>
      <c r="J69" s="30"/>
      <c r="K69" s="30"/>
      <c r="L69" s="30"/>
      <c r="M69" s="30"/>
      <c r="N69" s="30"/>
      <c r="O69" s="30"/>
      <c r="P69" s="30"/>
      <c r="Q69" s="30"/>
    </row>
    <row r="70" spans="1:17" hidden="1" outlineLevel="3" x14ac:dyDescent="0.3">
      <c r="A70" s="191" t="s">
        <v>65</v>
      </c>
      <c r="B70" s="190">
        <f t="shared" ref="B70:G70" si="12">SUM(B$71:B$71)</f>
        <v>3.89680770479</v>
      </c>
      <c r="C70" s="190">
        <f t="shared" si="12"/>
        <v>3.9435198970099998</v>
      </c>
      <c r="D70" s="190">
        <f t="shared" si="12"/>
        <v>3.8106711177300001</v>
      </c>
      <c r="E70" s="190">
        <f t="shared" si="12"/>
        <v>3.9392583086599999</v>
      </c>
      <c r="F70" s="190">
        <f t="shared" si="12"/>
        <v>3.6749315839099999</v>
      </c>
      <c r="G70" s="190">
        <f t="shared" si="12"/>
        <v>3.7100591239399998</v>
      </c>
      <c r="H70" s="30"/>
      <c r="I70" s="30"/>
      <c r="J70" s="30"/>
      <c r="K70" s="30"/>
      <c r="L70" s="30"/>
      <c r="M70" s="30"/>
      <c r="N70" s="30"/>
      <c r="O70" s="30"/>
      <c r="P70" s="30"/>
      <c r="Q70" s="30"/>
    </row>
    <row r="71" spans="1:17" hidden="1" outlineLevel="4" x14ac:dyDescent="0.3">
      <c r="A71" s="189" t="s">
        <v>32</v>
      </c>
      <c r="B71" s="190">
        <v>3.89680770479</v>
      </c>
      <c r="C71" s="190">
        <v>3.9435198970099998</v>
      </c>
      <c r="D71" s="190">
        <v>3.8106711177300001</v>
      </c>
      <c r="E71" s="190">
        <v>3.9392583086599999</v>
      </c>
      <c r="F71" s="190">
        <v>3.6749315839099999</v>
      </c>
      <c r="G71" s="190">
        <v>3.7100591239399998</v>
      </c>
      <c r="H71" s="30"/>
      <c r="I71" s="30"/>
      <c r="J71" s="30"/>
      <c r="K71" s="30"/>
      <c r="L71" s="30"/>
      <c r="M71" s="30"/>
      <c r="N71" s="30"/>
      <c r="O71" s="30"/>
      <c r="P71" s="30"/>
      <c r="Q71" s="30"/>
    </row>
    <row r="72" spans="1:17" ht="14.4" outlineLevel="1" x14ac:dyDescent="0.3">
      <c r="A72" s="202" t="s">
        <v>2</v>
      </c>
      <c r="B72" s="203">
        <f t="shared" ref="B72:G72" si="13">B$73+B$91</f>
        <v>10.003682405699999</v>
      </c>
      <c r="C72" s="203">
        <f t="shared" si="13"/>
        <v>9.2535289565300012</v>
      </c>
      <c r="D72" s="203">
        <f t="shared" si="13"/>
        <v>7.85503939028</v>
      </c>
      <c r="E72" s="203">
        <f t="shared" si="13"/>
        <v>6.5680273300800005</v>
      </c>
      <c r="F72" s="203">
        <f t="shared" si="13"/>
        <v>5.5495873626400005</v>
      </c>
      <c r="G72" s="203">
        <f t="shared" si="13"/>
        <v>4.9693600774000002</v>
      </c>
      <c r="H72" s="30"/>
      <c r="I72" s="30"/>
      <c r="J72" s="30"/>
      <c r="K72" s="30"/>
      <c r="L72" s="30"/>
      <c r="M72" s="30"/>
      <c r="N72" s="30"/>
      <c r="O72" s="30"/>
      <c r="P72" s="30"/>
      <c r="Q72" s="30"/>
    </row>
    <row r="73" spans="1:17" ht="14.4" outlineLevel="2" collapsed="1" x14ac:dyDescent="0.3">
      <c r="A73" s="200" t="s">
        <v>3</v>
      </c>
      <c r="B73" s="201">
        <f t="shared" ref="B73:G73" si="14">B$74+B$81+B$89</f>
        <v>1.5858571565499999</v>
      </c>
      <c r="C73" s="201">
        <f t="shared" si="14"/>
        <v>1.8535578371799997</v>
      </c>
      <c r="D73" s="201">
        <f t="shared" si="14"/>
        <v>1.6299962599</v>
      </c>
      <c r="E73" s="201">
        <f t="shared" si="14"/>
        <v>1.5789399568500002</v>
      </c>
      <c r="F73" s="201">
        <f t="shared" si="14"/>
        <v>1.28958930447</v>
      </c>
      <c r="G73" s="201">
        <f t="shared" si="14"/>
        <v>1.1914594964999998</v>
      </c>
      <c r="H73" s="30"/>
      <c r="I73" s="30"/>
      <c r="J73" s="30"/>
      <c r="K73" s="30"/>
      <c r="L73" s="30"/>
      <c r="M73" s="30"/>
      <c r="N73" s="30"/>
      <c r="O73" s="30"/>
      <c r="P73" s="30"/>
      <c r="Q73" s="30"/>
    </row>
    <row r="74" spans="1:17" hidden="1" outlineLevel="3" x14ac:dyDescent="0.3">
      <c r="A74" s="191" t="s">
        <v>4</v>
      </c>
      <c r="B74" s="190">
        <f t="shared" ref="B74:G74" si="15">SUM(B$75:B$80)</f>
        <v>0.54744480088999992</v>
      </c>
      <c r="C74" s="190">
        <f t="shared" si="15"/>
        <v>0.30416206515999999</v>
      </c>
      <c r="D74" s="190">
        <f t="shared" si="15"/>
        <v>0.18894594614000002</v>
      </c>
      <c r="E74" s="190">
        <f t="shared" si="15"/>
        <v>0.10187475469999999</v>
      </c>
      <c r="F74" s="190">
        <f t="shared" si="15"/>
        <v>4.964270657E-2</v>
      </c>
      <c r="G74" s="190">
        <f t="shared" si="15"/>
        <v>4.7706100950000004E-2</v>
      </c>
      <c r="H74" s="30"/>
      <c r="I74" s="30"/>
      <c r="J74" s="30"/>
      <c r="K74" s="30"/>
      <c r="L74" s="30"/>
      <c r="M74" s="30"/>
      <c r="N74" s="30"/>
      <c r="O74" s="30"/>
      <c r="P74" s="30"/>
      <c r="Q74" s="30"/>
    </row>
    <row r="75" spans="1:17" hidden="1" outlineLevel="4" x14ac:dyDescent="0.3">
      <c r="A75" s="189" t="s">
        <v>66</v>
      </c>
      <c r="B75" s="190">
        <v>3.7513E-7</v>
      </c>
      <c r="C75" s="190">
        <v>2.9780999999999999E-7</v>
      </c>
      <c r="D75" s="190">
        <v>2.7482999999999998E-7</v>
      </c>
      <c r="E75" s="190">
        <v>2.6408000000000002E-7</v>
      </c>
      <c r="F75" s="190">
        <v>2.3267E-7</v>
      </c>
      <c r="G75" s="190">
        <v>2.2359000000000001E-7</v>
      </c>
      <c r="H75" s="30"/>
      <c r="I75" s="30"/>
      <c r="J75" s="30"/>
      <c r="K75" s="30"/>
      <c r="L75" s="30"/>
      <c r="M75" s="30"/>
      <c r="N75" s="30"/>
      <c r="O75" s="30"/>
      <c r="P75" s="30"/>
      <c r="Q75" s="30"/>
    </row>
    <row r="76" spans="1:17" hidden="1" outlineLevel="4" x14ac:dyDescent="0.3">
      <c r="A76" s="189" t="s">
        <v>67</v>
      </c>
      <c r="B76" s="190">
        <v>0.11237735508</v>
      </c>
      <c r="C76" s="190">
        <v>8.9214654320000003E-2</v>
      </c>
      <c r="D76" s="190">
        <v>5.8638311790000001E-2</v>
      </c>
      <c r="E76" s="190">
        <v>5.6343992019999997E-2</v>
      </c>
      <c r="F76" s="190">
        <v>4.9642473899999998E-2</v>
      </c>
      <c r="G76" s="190">
        <v>4.7705877360000003E-2</v>
      </c>
      <c r="H76" s="30"/>
      <c r="I76" s="30"/>
      <c r="J76" s="30"/>
      <c r="K76" s="30"/>
      <c r="L76" s="30"/>
      <c r="M76" s="30"/>
      <c r="N76" s="30"/>
      <c r="O76" s="30"/>
      <c r="P76" s="30"/>
      <c r="Q76" s="30"/>
    </row>
    <row r="77" spans="1:17" hidden="1" outlineLevel="4" x14ac:dyDescent="0.3">
      <c r="A77" s="189" t="s">
        <v>68</v>
      </c>
      <c r="B77" s="190">
        <v>0.16431347945999999</v>
      </c>
      <c r="C77" s="190">
        <v>0</v>
      </c>
      <c r="D77" s="190">
        <v>0</v>
      </c>
      <c r="E77" s="190">
        <v>0</v>
      </c>
      <c r="F77" s="190">
        <v>0</v>
      </c>
      <c r="G77" s="190">
        <v>0</v>
      </c>
      <c r="H77" s="30"/>
      <c r="I77" s="30"/>
      <c r="J77" s="30"/>
      <c r="K77" s="30"/>
      <c r="L77" s="30"/>
      <c r="M77" s="30"/>
      <c r="N77" s="30"/>
      <c r="O77" s="30"/>
      <c r="P77" s="30"/>
      <c r="Q77" s="30"/>
    </row>
    <row r="78" spans="1:17" ht="24.75" hidden="1" customHeight="1" outlineLevel="4" x14ac:dyDescent="0.3">
      <c r="A78" s="189" t="s">
        <v>69</v>
      </c>
      <c r="B78" s="190">
        <v>9.2890151539999993E-2</v>
      </c>
      <c r="C78" s="190">
        <v>7.3744063050000003E-2</v>
      </c>
      <c r="D78" s="190">
        <v>0</v>
      </c>
      <c r="E78" s="190">
        <v>0</v>
      </c>
      <c r="F78" s="190">
        <v>0</v>
      </c>
      <c r="G78" s="190">
        <v>0</v>
      </c>
      <c r="H78" s="30"/>
      <c r="I78" s="30"/>
      <c r="J78" s="30"/>
      <c r="K78" s="30"/>
      <c r="L78" s="30"/>
      <c r="M78" s="30"/>
      <c r="N78" s="30"/>
      <c r="O78" s="30"/>
      <c r="P78" s="30"/>
      <c r="Q78" s="30"/>
    </row>
    <row r="79" spans="1:17" hidden="1" outlineLevel="4" x14ac:dyDescent="0.3">
      <c r="A79" s="189" t="s">
        <v>70</v>
      </c>
      <c r="B79" s="190">
        <v>0.11318582525</v>
      </c>
      <c r="C79" s="190">
        <v>8.9856486350000001E-2</v>
      </c>
      <c r="D79" s="190">
        <v>8.2922865149999997E-2</v>
      </c>
      <c r="E79" s="190">
        <v>0</v>
      </c>
      <c r="F79" s="190">
        <v>0</v>
      </c>
      <c r="G79" s="190">
        <v>0</v>
      </c>
      <c r="H79" s="30"/>
      <c r="I79" s="30"/>
      <c r="J79" s="30"/>
      <c r="K79" s="30"/>
      <c r="L79" s="30"/>
      <c r="M79" s="30"/>
      <c r="N79" s="30"/>
      <c r="O79" s="30"/>
      <c r="P79" s="30"/>
      <c r="Q79" s="30"/>
    </row>
    <row r="80" spans="1:17" hidden="1" outlineLevel="4" x14ac:dyDescent="0.3">
      <c r="A80" s="189" t="s">
        <v>71</v>
      </c>
      <c r="B80" s="190">
        <v>6.4677614430000002E-2</v>
      </c>
      <c r="C80" s="190">
        <v>5.1346563630000001E-2</v>
      </c>
      <c r="D80" s="190">
        <v>4.7384494370000002E-2</v>
      </c>
      <c r="E80" s="190">
        <v>4.5530498599999997E-2</v>
      </c>
      <c r="F80" s="190">
        <v>0</v>
      </c>
      <c r="G80" s="190">
        <v>0</v>
      </c>
      <c r="H80" s="30"/>
      <c r="I80" s="30"/>
      <c r="J80" s="30"/>
      <c r="K80" s="30"/>
      <c r="L80" s="30"/>
      <c r="M80" s="30"/>
      <c r="N80" s="30"/>
      <c r="O80" s="30"/>
      <c r="P80" s="30"/>
      <c r="Q80" s="30"/>
    </row>
    <row r="81" spans="1:17" hidden="1" outlineLevel="3" x14ac:dyDescent="0.3">
      <c r="A81" s="191" t="s">
        <v>20</v>
      </c>
      <c r="B81" s="190">
        <f t="shared" ref="B81:G81" si="16">SUM(B$82:B$88)</f>
        <v>1.03838148342</v>
      </c>
      <c r="C81" s="190">
        <f t="shared" si="16"/>
        <v>1.5493712630199998</v>
      </c>
      <c r="D81" s="190">
        <f t="shared" si="16"/>
        <v>1.4410276959599999</v>
      </c>
      <c r="E81" s="190">
        <f t="shared" si="16"/>
        <v>1.4770434693000001</v>
      </c>
      <c r="F81" s="190">
        <f t="shared" si="16"/>
        <v>1.2399274499499999</v>
      </c>
      <c r="G81" s="190">
        <f t="shared" si="16"/>
        <v>1.1437349945699999</v>
      </c>
      <c r="H81" s="30"/>
      <c r="I81" s="30"/>
      <c r="J81" s="30"/>
      <c r="K81" s="30"/>
      <c r="L81" s="30"/>
      <c r="M81" s="30"/>
      <c r="N81" s="30"/>
      <c r="O81" s="30"/>
      <c r="P81" s="30"/>
      <c r="Q81" s="30"/>
    </row>
    <row r="82" spans="1:17" hidden="1" outlineLevel="4" x14ac:dyDescent="0.3">
      <c r="A82" s="189" t="s">
        <v>72</v>
      </c>
      <c r="B82" s="190">
        <v>0.14068772307999999</v>
      </c>
      <c r="C82" s="190">
        <v>0.10997364678</v>
      </c>
      <c r="D82" s="190">
        <v>8.4920533519999994E-2</v>
      </c>
      <c r="E82" s="190">
        <v>6.0134245869999998E-2</v>
      </c>
      <c r="F82" s="190">
        <v>3.0532643969999999E-2</v>
      </c>
      <c r="G82" s="190">
        <v>2.6630726939999998E-2</v>
      </c>
      <c r="H82" s="30"/>
      <c r="I82" s="30"/>
      <c r="J82" s="30"/>
      <c r="K82" s="30"/>
      <c r="L82" s="30"/>
      <c r="M82" s="30"/>
      <c r="N82" s="30"/>
      <c r="O82" s="30"/>
      <c r="P82" s="30"/>
      <c r="Q82" s="30"/>
    </row>
    <row r="83" spans="1:17" hidden="1" outlineLevel="4" x14ac:dyDescent="0.3">
      <c r="A83" s="189" t="s">
        <v>73</v>
      </c>
      <c r="B83" s="190">
        <v>1.146787786E-2</v>
      </c>
      <c r="C83" s="190">
        <v>1.2204867649999999E-2</v>
      </c>
      <c r="D83" s="190">
        <v>1.0398710510000001E-2</v>
      </c>
      <c r="E83" s="190">
        <v>6.9118711800000001E-3</v>
      </c>
      <c r="F83" s="190">
        <v>2.4561219899999999E-3</v>
      </c>
      <c r="G83" s="190">
        <v>0</v>
      </c>
      <c r="H83" s="30"/>
      <c r="I83" s="30"/>
      <c r="J83" s="30"/>
      <c r="K83" s="30"/>
      <c r="L83" s="30"/>
      <c r="M83" s="30"/>
      <c r="N83" s="30"/>
      <c r="O83" s="30"/>
      <c r="P83" s="30"/>
      <c r="Q83" s="30"/>
    </row>
    <row r="84" spans="1:17" hidden="1" outlineLevel="4" x14ac:dyDescent="0.3">
      <c r="A84" s="189" t="s">
        <v>74</v>
      </c>
      <c r="B84" s="190">
        <v>0.34310276126</v>
      </c>
      <c r="C84" s="190">
        <v>0.31785239838000001</v>
      </c>
      <c r="D84" s="190">
        <v>0.26993384093</v>
      </c>
      <c r="E84" s="190">
        <v>0.34125641212000002</v>
      </c>
      <c r="F84" s="190">
        <v>0.20518418611</v>
      </c>
      <c r="G84" s="190">
        <v>0.14867767999000001</v>
      </c>
      <c r="H84" s="30"/>
      <c r="I84" s="30"/>
      <c r="J84" s="30"/>
      <c r="K84" s="30"/>
      <c r="L84" s="30"/>
      <c r="M84" s="30"/>
      <c r="N84" s="30"/>
      <c r="O84" s="30"/>
      <c r="P84" s="30"/>
      <c r="Q84" s="30"/>
    </row>
    <row r="85" spans="1:17" hidden="1" outlineLevel="4" x14ac:dyDescent="0.3">
      <c r="A85" s="189" t="s">
        <v>75</v>
      </c>
      <c r="B85" s="190">
        <v>0.40469889854000002</v>
      </c>
      <c r="C85" s="190">
        <v>0.35783271313999998</v>
      </c>
      <c r="D85" s="190">
        <v>0.31205848595000002</v>
      </c>
      <c r="E85" s="190">
        <v>0.30186178992000001</v>
      </c>
      <c r="F85" s="190">
        <v>0.29750616770999999</v>
      </c>
      <c r="G85" s="190">
        <v>0.26146703526999998</v>
      </c>
      <c r="H85" s="30"/>
      <c r="I85" s="30"/>
      <c r="J85" s="30"/>
      <c r="K85" s="30"/>
      <c r="L85" s="30"/>
      <c r="M85" s="30"/>
      <c r="N85" s="30"/>
      <c r="O85" s="30"/>
      <c r="P85" s="30"/>
      <c r="Q85" s="30"/>
    </row>
    <row r="86" spans="1:17" hidden="1" outlineLevel="4" x14ac:dyDescent="0.3">
      <c r="A86" s="189" t="s">
        <v>76</v>
      </c>
      <c r="B86" s="190">
        <v>8.82144451E-3</v>
      </c>
      <c r="C86" s="190">
        <v>9.3883597300000003E-3</v>
      </c>
      <c r="D86" s="190">
        <v>7.9990080799999998E-3</v>
      </c>
      <c r="E86" s="190">
        <v>5.3168239399999997E-3</v>
      </c>
      <c r="F86" s="190">
        <v>1.88932453E-3</v>
      </c>
      <c r="G86" s="190">
        <v>0</v>
      </c>
      <c r="H86" s="30"/>
      <c r="I86" s="30"/>
      <c r="J86" s="30"/>
      <c r="K86" s="30"/>
      <c r="L86" s="30"/>
      <c r="M86" s="30"/>
      <c r="N86" s="30"/>
      <c r="O86" s="30"/>
      <c r="P86" s="30"/>
      <c r="Q86" s="30"/>
    </row>
    <row r="87" spans="1:17" hidden="1" outlineLevel="4" x14ac:dyDescent="0.3">
      <c r="A87" s="189" t="s">
        <v>77</v>
      </c>
      <c r="B87" s="190">
        <v>1.235002231E-2</v>
      </c>
      <c r="C87" s="190">
        <v>1.314370363E-2</v>
      </c>
      <c r="D87" s="190">
        <v>1.119861131E-2</v>
      </c>
      <c r="E87" s="190">
        <v>7.4435535499999999E-3</v>
      </c>
      <c r="F87" s="190">
        <v>2.6450543900000002E-3</v>
      </c>
      <c r="G87" s="190">
        <v>0</v>
      </c>
      <c r="H87" s="30"/>
      <c r="I87" s="30"/>
      <c r="J87" s="30"/>
      <c r="K87" s="30"/>
      <c r="L87" s="30"/>
      <c r="M87" s="30"/>
      <c r="N87" s="30"/>
      <c r="O87" s="30"/>
      <c r="P87" s="30"/>
      <c r="Q87" s="30"/>
    </row>
    <row r="88" spans="1:17" hidden="1" outlineLevel="4" x14ac:dyDescent="0.3">
      <c r="A88" s="189" t="s">
        <v>78</v>
      </c>
      <c r="B88" s="190">
        <v>0.11725275586</v>
      </c>
      <c r="C88" s="190">
        <v>0.72897557370999999</v>
      </c>
      <c r="D88" s="190">
        <v>0.74451850566</v>
      </c>
      <c r="E88" s="190">
        <v>0.75411877272000005</v>
      </c>
      <c r="F88" s="190">
        <v>0.69971395125000002</v>
      </c>
      <c r="G88" s="190">
        <v>0.70695955236999997</v>
      </c>
      <c r="H88" s="30"/>
      <c r="I88" s="30"/>
      <c r="J88" s="30"/>
      <c r="K88" s="30"/>
      <c r="L88" s="30"/>
      <c r="M88" s="30"/>
      <c r="N88" s="30"/>
      <c r="O88" s="30"/>
      <c r="P88" s="30"/>
      <c r="Q88" s="30"/>
    </row>
    <row r="89" spans="1:17" hidden="1" outlineLevel="3" x14ac:dyDescent="0.3">
      <c r="A89" s="191" t="s">
        <v>79</v>
      </c>
      <c r="B89" s="190">
        <f t="shared" ref="B89:G89" si="17">SUM(B$90:B$90)</f>
        <v>3.0872240000000002E-5</v>
      </c>
      <c r="C89" s="190">
        <f t="shared" si="17"/>
        <v>2.4508999999999999E-5</v>
      </c>
      <c r="D89" s="190">
        <f t="shared" si="17"/>
        <v>2.2617799999999999E-5</v>
      </c>
      <c r="E89" s="190">
        <f t="shared" si="17"/>
        <v>2.173285E-5</v>
      </c>
      <c r="F89" s="190">
        <f t="shared" si="17"/>
        <v>1.914795E-5</v>
      </c>
      <c r="G89" s="190">
        <f t="shared" si="17"/>
        <v>1.8400980000000001E-5</v>
      </c>
      <c r="H89" s="30"/>
      <c r="I89" s="30"/>
      <c r="J89" s="30"/>
      <c r="K89" s="30"/>
      <c r="L89" s="30"/>
      <c r="M89" s="30"/>
      <c r="N89" s="30"/>
      <c r="O89" s="30"/>
      <c r="P89" s="30"/>
      <c r="Q89" s="30"/>
    </row>
    <row r="90" spans="1:17" hidden="1" outlineLevel="4" x14ac:dyDescent="0.3">
      <c r="A90" s="189" t="s">
        <v>80</v>
      </c>
      <c r="B90" s="190">
        <v>3.0872240000000002E-5</v>
      </c>
      <c r="C90" s="190">
        <v>2.4508999999999999E-5</v>
      </c>
      <c r="D90" s="190">
        <v>2.2617799999999999E-5</v>
      </c>
      <c r="E90" s="190">
        <v>2.173285E-5</v>
      </c>
      <c r="F90" s="190">
        <v>1.914795E-5</v>
      </c>
      <c r="G90" s="190">
        <v>1.8400980000000001E-5</v>
      </c>
      <c r="H90" s="30"/>
      <c r="I90" s="30"/>
      <c r="J90" s="30"/>
      <c r="K90" s="30"/>
      <c r="L90" s="30"/>
      <c r="M90" s="30"/>
      <c r="N90" s="30"/>
      <c r="O90" s="30"/>
      <c r="P90" s="30"/>
      <c r="Q90" s="30"/>
    </row>
    <row r="91" spans="1:17" ht="14.4" outlineLevel="2" collapsed="1" x14ac:dyDescent="0.3">
      <c r="A91" s="200" t="s">
        <v>22</v>
      </c>
      <c r="B91" s="201">
        <f t="shared" ref="B91:G91" si="18">B$92+B$99+B$102+B$105+B$108</f>
        <v>8.417825249149999</v>
      </c>
      <c r="C91" s="201">
        <f t="shared" si="18"/>
        <v>7.3999711193500008</v>
      </c>
      <c r="D91" s="201">
        <f t="shared" si="18"/>
        <v>6.2250431303799996</v>
      </c>
      <c r="E91" s="201">
        <f t="shared" si="18"/>
        <v>4.9890873732300003</v>
      </c>
      <c r="F91" s="201">
        <f t="shared" si="18"/>
        <v>4.2599980581700008</v>
      </c>
      <c r="G91" s="201">
        <f t="shared" si="18"/>
        <v>3.7779005809000004</v>
      </c>
      <c r="H91" s="30"/>
      <c r="I91" s="30"/>
      <c r="J91" s="30"/>
      <c r="K91" s="30"/>
      <c r="L91" s="30"/>
      <c r="M91" s="30"/>
      <c r="N91" s="30"/>
      <c r="O91" s="30"/>
      <c r="P91" s="30"/>
      <c r="Q91" s="30"/>
    </row>
    <row r="92" spans="1:17" hidden="1" outlineLevel="3" x14ac:dyDescent="0.3">
      <c r="A92" s="191" t="s">
        <v>23</v>
      </c>
      <c r="B92" s="190">
        <f t="shared" ref="B92:G92" si="19">SUM(B$93:B$98)</f>
        <v>6.0175692428999996</v>
      </c>
      <c r="C92" s="190">
        <f t="shared" si="19"/>
        <v>4.9096814341100004</v>
      </c>
      <c r="D92" s="190">
        <f t="shared" si="19"/>
        <v>3.8080208138299998</v>
      </c>
      <c r="E92" s="190">
        <f t="shared" si="19"/>
        <v>3.1025780153099998</v>
      </c>
      <c r="F92" s="190">
        <f t="shared" si="19"/>
        <v>2.5885366674400001</v>
      </c>
      <c r="G92" s="190">
        <f t="shared" si="19"/>
        <v>2.0995290892900003</v>
      </c>
      <c r="H92" s="30"/>
      <c r="I92" s="30"/>
      <c r="J92" s="30"/>
      <c r="K92" s="30"/>
      <c r="L92" s="30"/>
      <c r="M92" s="30"/>
      <c r="N92" s="30"/>
      <c r="O92" s="30"/>
      <c r="P92" s="30"/>
      <c r="Q92" s="30"/>
    </row>
    <row r="93" spans="1:17" hidden="1" outlineLevel="4" x14ac:dyDescent="0.3">
      <c r="A93" s="189" t="s">
        <v>81</v>
      </c>
      <c r="B93" s="190">
        <v>0.3</v>
      </c>
      <c r="C93" s="190">
        <v>0.3</v>
      </c>
      <c r="D93" s="190">
        <v>0.3</v>
      </c>
      <c r="E93" s="190">
        <v>0.3</v>
      </c>
      <c r="F93" s="190">
        <v>0.3</v>
      </c>
      <c r="G93" s="190">
        <v>0.3</v>
      </c>
      <c r="H93" s="30"/>
      <c r="I93" s="30"/>
      <c r="J93" s="30"/>
      <c r="K93" s="30"/>
      <c r="L93" s="30"/>
      <c r="M93" s="30"/>
      <c r="N93" s="30"/>
      <c r="O93" s="30"/>
      <c r="P93" s="30"/>
      <c r="Q93" s="30"/>
    </row>
    <row r="94" spans="1:17" hidden="1" outlineLevel="4" x14ac:dyDescent="0.3">
      <c r="A94" s="189" t="s">
        <v>26</v>
      </c>
      <c r="B94" s="190">
        <v>0.30009124623</v>
      </c>
      <c r="C94" s="190">
        <v>0.56925695438000001</v>
      </c>
      <c r="D94" s="190">
        <v>1.00650819615</v>
      </c>
      <c r="E94" s="190">
        <v>1.03182196244</v>
      </c>
      <c r="F94" s="190">
        <v>1.3395228933800001</v>
      </c>
      <c r="G94" s="190">
        <v>0.98138362426000003</v>
      </c>
      <c r="H94" s="30"/>
      <c r="I94" s="30"/>
      <c r="J94" s="30"/>
      <c r="K94" s="30"/>
      <c r="L94" s="30"/>
      <c r="M94" s="30"/>
      <c r="N94" s="30"/>
      <c r="O94" s="30"/>
      <c r="P94" s="30"/>
      <c r="Q94" s="30"/>
    </row>
    <row r="95" spans="1:17" hidden="1" outlineLevel="4" x14ac:dyDescent="0.3">
      <c r="A95" s="189" t="s">
        <v>27</v>
      </c>
      <c r="B95" s="190">
        <v>5.4515000000000001E-2</v>
      </c>
      <c r="C95" s="190">
        <v>0.102765</v>
      </c>
      <c r="D95" s="190">
        <v>0.100665</v>
      </c>
      <c r="E95" s="190">
        <v>0.18406328947</v>
      </c>
      <c r="F95" s="190">
        <v>0.18130986840999999</v>
      </c>
      <c r="G95" s="190">
        <v>0.17638253431000001</v>
      </c>
      <c r="H95" s="30"/>
      <c r="I95" s="30"/>
      <c r="J95" s="30"/>
      <c r="K95" s="30"/>
      <c r="L95" s="30"/>
      <c r="M95" s="30"/>
      <c r="N95" s="30"/>
      <c r="O95" s="30"/>
      <c r="P95" s="30"/>
      <c r="Q95" s="30"/>
    </row>
    <row r="96" spans="1:17" hidden="1" outlineLevel="4" x14ac:dyDescent="0.3">
      <c r="A96" s="189" t="s">
        <v>31</v>
      </c>
      <c r="B96" s="190">
        <v>0.41304698813000001</v>
      </c>
      <c r="C96" s="190">
        <v>0.44079041667000002</v>
      </c>
      <c r="D96" s="190">
        <v>0.48335464901000003</v>
      </c>
      <c r="E96" s="190">
        <v>0.49121098109</v>
      </c>
      <c r="F96" s="190">
        <v>0.41426617345</v>
      </c>
      <c r="G96" s="190">
        <v>0.42691417605999998</v>
      </c>
      <c r="H96" s="30"/>
      <c r="I96" s="30"/>
      <c r="J96" s="30"/>
      <c r="K96" s="30"/>
      <c r="L96" s="30"/>
      <c r="M96" s="30"/>
      <c r="N96" s="30"/>
      <c r="O96" s="30"/>
      <c r="P96" s="30"/>
      <c r="Q96" s="30"/>
    </row>
    <row r="97" spans="1:17" hidden="1" outlineLevel="4" x14ac:dyDescent="0.3">
      <c r="A97" s="189" t="s">
        <v>32</v>
      </c>
      <c r="B97" s="190">
        <v>4.9499160085399998</v>
      </c>
      <c r="C97" s="190">
        <v>3.4967231228900002</v>
      </c>
      <c r="D97" s="190">
        <v>1.9173508510899999</v>
      </c>
      <c r="E97" s="190">
        <v>1.0952022984600001</v>
      </c>
      <c r="F97" s="190">
        <v>0.35263865587999998</v>
      </c>
      <c r="G97" s="190">
        <v>0.21395712310000001</v>
      </c>
      <c r="H97" s="30"/>
      <c r="I97" s="30"/>
      <c r="J97" s="30"/>
      <c r="K97" s="30"/>
      <c r="L97" s="30"/>
      <c r="M97" s="30"/>
      <c r="N97" s="30"/>
      <c r="O97" s="30"/>
      <c r="P97" s="30"/>
      <c r="Q97" s="30"/>
    </row>
    <row r="98" spans="1:17" hidden="1" outlineLevel="4" x14ac:dyDescent="0.3">
      <c r="A98" s="189" t="s">
        <v>33</v>
      </c>
      <c r="B98" s="190">
        <v>0</v>
      </c>
      <c r="C98" s="190">
        <v>1.4594017E-4</v>
      </c>
      <c r="D98" s="190">
        <v>1.4211757999999999E-4</v>
      </c>
      <c r="E98" s="190">
        <v>2.7948384999999999E-4</v>
      </c>
      <c r="F98" s="190">
        <v>7.9907632000000004E-4</v>
      </c>
      <c r="G98" s="190">
        <v>8.9163155999999997E-4</v>
      </c>
      <c r="H98" s="30"/>
      <c r="I98" s="30"/>
      <c r="J98" s="30"/>
      <c r="K98" s="30"/>
      <c r="L98" s="30"/>
      <c r="M98" s="30"/>
      <c r="N98" s="30"/>
      <c r="O98" s="30"/>
      <c r="P98" s="30"/>
      <c r="Q98" s="30"/>
    </row>
    <row r="99" spans="1:17" hidden="1" outlineLevel="3" x14ac:dyDescent="0.3">
      <c r="A99" s="191" t="s">
        <v>82</v>
      </c>
      <c r="B99" s="190">
        <f t="shared" ref="B99:G99" si="20">SUM(B$100:B$101)</f>
        <v>0.79393000588999996</v>
      </c>
      <c r="C99" s="190">
        <f t="shared" si="20"/>
        <v>0.77453967806000001</v>
      </c>
      <c r="D99" s="190">
        <f t="shared" si="20"/>
        <v>0.76914445785000007</v>
      </c>
      <c r="E99" s="190">
        <f t="shared" si="20"/>
        <v>0.82092965021999997</v>
      </c>
      <c r="F99" s="190">
        <f t="shared" si="20"/>
        <v>0.73282004173000004</v>
      </c>
      <c r="G99" s="190">
        <f t="shared" si="20"/>
        <v>0.73984851984</v>
      </c>
      <c r="H99" s="30"/>
      <c r="I99" s="30"/>
      <c r="J99" s="30"/>
      <c r="K99" s="30"/>
      <c r="L99" s="30"/>
      <c r="M99" s="30"/>
      <c r="N99" s="30"/>
      <c r="O99" s="30"/>
      <c r="P99" s="30"/>
      <c r="Q99" s="30"/>
    </row>
    <row r="100" spans="1:17" hidden="1" outlineLevel="4" x14ac:dyDescent="0.3">
      <c r="A100" s="189" t="s">
        <v>83</v>
      </c>
      <c r="B100" s="190">
        <v>0.79393000588999996</v>
      </c>
      <c r="C100" s="190">
        <v>0.77453967806000001</v>
      </c>
      <c r="D100" s="190">
        <v>0.74240793785000003</v>
      </c>
      <c r="E100" s="190">
        <v>0.78954836021999997</v>
      </c>
      <c r="F100" s="190">
        <v>0.70141175173000003</v>
      </c>
      <c r="G100" s="190">
        <v>0.70844022983999999</v>
      </c>
      <c r="H100" s="30"/>
      <c r="I100" s="30"/>
      <c r="J100" s="30"/>
      <c r="K100" s="30"/>
      <c r="L100" s="30"/>
      <c r="M100" s="30"/>
      <c r="N100" s="30"/>
      <c r="O100" s="30"/>
      <c r="P100" s="30"/>
      <c r="Q100" s="30"/>
    </row>
    <row r="101" spans="1:17" hidden="1" outlineLevel="4" x14ac:dyDescent="0.3">
      <c r="A101" s="189" t="s">
        <v>39</v>
      </c>
      <c r="B101" s="190">
        <v>0</v>
      </c>
      <c r="C101" s="190">
        <v>0</v>
      </c>
      <c r="D101" s="190">
        <v>2.673652E-2</v>
      </c>
      <c r="E101" s="190">
        <v>3.1381289999999999E-2</v>
      </c>
      <c r="F101" s="190">
        <v>3.1408289999999998E-2</v>
      </c>
      <c r="G101" s="190">
        <v>3.1408289999999998E-2</v>
      </c>
      <c r="H101" s="30"/>
      <c r="I101" s="30"/>
      <c r="J101" s="30"/>
      <c r="K101" s="30"/>
      <c r="L101" s="30"/>
      <c r="M101" s="30"/>
      <c r="N101" s="30"/>
      <c r="O101" s="30"/>
      <c r="P101" s="30"/>
      <c r="Q101" s="30"/>
    </row>
    <row r="102" spans="1:17" hidden="1" outlineLevel="3" x14ac:dyDescent="0.3">
      <c r="A102" s="191" t="s">
        <v>47</v>
      </c>
      <c r="B102" s="190">
        <f t="shared" ref="B102:G102" si="21">SUM(B$103:B$104)</f>
        <v>0.16050210291</v>
      </c>
      <c r="C102" s="190">
        <f t="shared" si="21"/>
        <v>0.18226617203000001</v>
      </c>
      <c r="D102" s="190">
        <f t="shared" si="21"/>
        <v>0.17721710147</v>
      </c>
      <c r="E102" s="190">
        <f t="shared" si="21"/>
        <v>0.17438233821999999</v>
      </c>
      <c r="F102" s="190">
        <f t="shared" si="21"/>
        <v>0.14240130083999999</v>
      </c>
      <c r="G102" s="190">
        <f t="shared" si="21"/>
        <v>0.13434801099999999</v>
      </c>
      <c r="H102" s="30"/>
      <c r="I102" s="30"/>
      <c r="J102" s="30"/>
      <c r="K102" s="30"/>
      <c r="L102" s="30"/>
      <c r="M102" s="30"/>
      <c r="N102" s="30"/>
      <c r="O102" s="30"/>
      <c r="P102" s="30"/>
      <c r="Q102" s="30"/>
    </row>
    <row r="103" spans="1:17" hidden="1" outlineLevel="4" x14ac:dyDescent="0.3">
      <c r="A103" s="189" t="s">
        <v>84</v>
      </c>
      <c r="B103" s="190">
        <v>0.14475470909999999</v>
      </c>
      <c r="C103" s="190">
        <v>0.17700835286</v>
      </c>
      <c r="D103" s="190">
        <v>0.17721710147</v>
      </c>
      <c r="E103" s="190">
        <v>0.17438233821999999</v>
      </c>
      <c r="F103" s="190">
        <v>0.14240130083999999</v>
      </c>
      <c r="G103" s="190">
        <v>0.13434801099999999</v>
      </c>
      <c r="H103" s="30"/>
      <c r="I103" s="30"/>
      <c r="J103" s="30"/>
      <c r="K103" s="30"/>
      <c r="L103" s="30"/>
      <c r="M103" s="30"/>
      <c r="N103" s="30"/>
      <c r="O103" s="30"/>
      <c r="P103" s="30"/>
      <c r="Q103" s="30"/>
    </row>
    <row r="104" spans="1:17" hidden="1" outlineLevel="4" x14ac:dyDescent="0.3">
      <c r="A104" s="189" t="s">
        <v>52</v>
      </c>
      <c r="B104" s="190">
        <v>1.574739381E-2</v>
      </c>
      <c r="C104" s="190">
        <v>5.2578191699999997E-3</v>
      </c>
      <c r="D104" s="190">
        <v>0</v>
      </c>
      <c r="E104" s="190">
        <v>0</v>
      </c>
      <c r="F104" s="190">
        <v>0</v>
      </c>
      <c r="G104" s="190">
        <v>0</v>
      </c>
      <c r="H104" s="30"/>
      <c r="I104" s="30"/>
      <c r="J104" s="30"/>
      <c r="K104" s="30"/>
      <c r="L104" s="30"/>
      <c r="M104" s="30"/>
      <c r="N104" s="30"/>
      <c r="O104" s="30"/>
      <c r="P104" s="30"/>
      <c r="Q104" s="30"/>
    </row>
    <row r="105" spans="1:17" hidden="1" outlineLevel="3" x14ac:dyDescent="0.3">
      <c r="A105" s="191" t="s">
        <v>85</v>
      </c>
      <c r="B105" s="190">
        <f t="shared" ref="B105:G105" si="22">SUM(B$106:B$107)</f>
        <v>1.34527028775</v>
      </c>
      <c r="C105" s="190">
        <f t="shared" si="22"/>
        <v>1.4317248594400001</v>
      </c>
      <c r="D105" s="190">
        <f t="shared" si="22"/>
        <v>1.37232982451</v>
      </c>
      <c r="E105" s="190">
        <f t="shared" si="22"/>
        <v>0.78954836021999997</v>
      </c>
      <c r="F105" s="190">
        <f t="shared" si="22"/>
        <v>0.70141175173000003</v>
      </c>
      <c r="G105" s="190">
        <f t="shared" si="22"/>
        <v>0.70844022983999999</v>
      </c>
      <c r="H105" s="30"/>
      <c r="I105" s="30"/>
      <c r="J105" s="30"/>
      <c r="K105" s="30"/>
      <c r="L105" s="30"/>
      <c r="M105" s="30"/>
      <c r="N105" s="30"/>
      <c r="O105" s="30"/>
      <c r="P105" s="30"/>
      <c r="Q105" s="30"/>
    </row>
    <row r="106" spans="1:17" hidden="1" outlineLevel="4" x14ac:dyDescent="0.3">
      <c r="A106" s="189" t="s">
        <v>86</v>
      </c>
      <c r="B106" s="190">
        <v>0.61750111568999999</v>
      </c>
      <c r="C106" s="190">
        <v>0.65718518138000004</v>
      </c>
      <c r="D106" s="190">
        <v>0.62992188666000004</v>
      </c>
      <c r="E106" s="190">
        <v>0</v>
      </c>
      <c r="F106" s="190">
        <v>0</v>
      </c>
      <c r="G106" s="190">
        <v>0</v>
      </c>
      <c r="H106" s="30"/>
      <c r="I106" s="30"/>
      <c r="J106" s="30"/>
      <c r="K106" s="30"/>
      <c r="L106" s="30"/>
      <c r="M106" s="30"/>
      <c r="N106" s="30"/>
      <c r="O106" s="30"/>
      <c r="P106" s="30"/>
      <c r="Q106" s="30"/>
    </row>
    <row r="107" spans="1:17" hidden="1" outlineLevel="4" x14ac:dyDescent="0.3">
      <c r="A107" s="189" t="s">
        <v>87</v>
      </c>
      <c r="B107" s="190">
        <v>0.72776917206000002</v>
      </c>
      <c r="C107" s="190">
        <v>0.77453967806000001</v>
      </c>
      <c r="D107" s="190">
        <v>0.74240793785000003</v>
      </c>
      <c r="E107" s="190">
        <v>0.78954836021999997</v>
      </c>
      <c r="F107" s="190">
        <v>0.70141175173000003</v>
      </c>
      <c r="G107" s="190">
        <v>0.70844022983999999</v>
      </c>
      <c r="H107" s="30"/>
      <c r="I107" s="30"/>
      <c r="J107" s="30"/>
      <c r="K107" s="30"/>
      <c r="L107" s="30"/>
      <c r="M107" s="30"/>
      <c r="N107" s="30"/>
      <c r="O107" s="30"/>
      <c r="P107" s="30"/>
      <c r="Q107" s="30"/>
    </row>
    <row r="108" spans="1:17" hidden="1" outlineLevel="3" x14ac:dyDescent="0.3">
      <c r="A108" s="191" t="s">
        <v>65</v>
      </c>
      <c r="B108" s="190">
        <f t="shared" ref="B108:G108" si="23">SUM(B$109:B$109)</f>
        <v>0.1005536097</v>
      </c>
      <c r="C108" s="190">
        <f t="shared" si="23"/>
        <v>0.10175897571</v>
      </c>
      <c r="D108" s="190">
        <f t="shared" si="23"/>
        <v>9.833093272E-2</v>
      </c>
      <c r="E108" s="190">
        <f t="shared" si="23"/>
        <v>0.10164900926000001</v>
      </c>
      <c r="F108" s="190">
        <f t="shared" si="23"/>
        <v>9.482829643E-2</v>
      </c>
      <c r="G108" s="190">
        <f t="shared" si="23"/>
        <v>9.5734730929999998E-2</v>
      </c>
      <c r="H108" s="30"/>
      <c r="I108" s="30"/>
      <c r="J108" s="30"/>
      <c r="K108" s="30"/>
      <c r="L108" s="30"/>
      <c r="M108" s="30"/>
      <c r="N108" s="30"/>
      <c r="O108" s="30"/>
      <c r="P108" s="30"/>
      <c r="Q108" s="30"/>
    </row>
    <row r="109" spans="1:17" hidden="1" outlineLevel="4" x14ac:dyDescent="0.3">
      <c r="A109" s="189" t="s">
        <v>32</v>
      </c>
      <c r="B109" s="190">
        <v>0.1005536097</v>
      </c>
      <c r="C109" s="190">
        <v>0.10175897571</v>
      </c>
      <c r="D109" s="190">
        <v>9.833093272E-2</v>
      </c>
      <c r="E109" s="190">
        <v>0.10164900926000001</v>
      </c>
      <c r="F109" s="190">
        <v>9.482829643E-2</v>
      </c>
      <c r="G109" s="190">
        <v>9.5734730929999998E-2</v>
      </c>
      <c r="H109" s="30"/>
      <c r="I109" s="30"/>
      <c r="J109" s="30"/>
      <c r="K109" s="30"/>
      <c r="L109" s="30"/>
      <c r="M109" s="30"/>
      <c r="N109" s="30"/>
      <c r="O109" s="30"/>
      <c r="P109" s="30"/>
      <c r="Q109" s="30"/>
    </row>
    <row r="110" spans="1:17" ht="40.049999999999997" customHeight="1" x14ac:dyDescent="0.3">
      <c r="A110" s="298" t="s">
        <v>158</v>
      </c>
      <c r="B110" s="299"/>
      <c r="C110" s="299"/>
      <c r="D110" s="299"/>
      <c r="E110" s="299"/>
      <c r="F110" s="299"/>
      <c r="G110" s="299"/>
      <c r="H110" s="30"/>
      <c r="I110" s="30"/>
      <c r="J110" s="30"/>
      <c r="K110" s="30"/>
      <c r="L110" s="30"/>
      <c r="M110" s="30"/>
      <c r="N110" s="30"/>
      <c r="O110" s="30"/>
      <c r="P110" s="30"/>
      <c r="Q110" s="30"/>
    </row>
    <row r="111" spans="1:17" x14ac:dyDescent="0.3">
      <c r="B111" s="29"/>
      <c r="C111" s="29"/>
      <c r="D111" s="29"/>
      <c r="E111" s="29"/>
      <c r="F111" s="29"/>
      <c r="G111" s="29"/>
      <c r="H111" s="30"/>
      <c r="I111" s="30"/>
      <c r="J111" s="30"/>
      <c r="K111" s="30"/>
      <c r="L111" s="30"/>
      <c r="M111" s="30"/>
      <c r="N111" s="30"/>
      <c r="O111" s="30"/>
      <c r="P111" s="30"/>
      <c r="Q111" s="30"/>
    </row>
    <row r="112" spans="1:17" x14ac:dyDescent="0.3">
      <c r="B112" s="29"/>
      <c r="C112" s="29"/>
      <c r="D112" s="29"/>
      <c r="E112" s="29"/>
      <c r="F112" s="29"/>
      <c r="G112" s="29"/>
      <c r="H112" s="30"/>
      <c r="I112" s="30"/>
      <c r="J112" s="30"/>
      <c r="K112" s="30"/>
      <c r="L112" s="30"/>
      <c r="M112" s="30"/>
      <c r="N112" s="30"/>
      <c r="O112" s="30"/>
      <c r="P112" s="30"/>
      <c r="Q112" s="30"/>
    </row>
    <row r="113" spans="2:17" x14ac:dyDescent="0.3">
      <c r="B113" s="29"/>
      <c r="C113" s="29"/>
      <c r="D113" s="29"/>
      <c r="E113" s="29"/>
      <c r="F113" s="29"/>
      <c r="G113" s="29"/>
      <c r="H113" s="30"/>
      <c r="I113" s="30"/>
      <c r="J113" s="30"/>
      <c r="K113" s="30"/>
      <c r="L113" s="30"/>
      <c r="M113" s="30"/>
      <c r="N113" s="30"/>
      <c r="O113" s="30"/>
      <c r="P113" s="30"/>
      <c r="Q113" s="30"/>
    </row>
    <row r="114" spans="2:17" x14ac:dyDescent="0.3">
      <c r="B114" s="29"/>
      <c r="C114" s="29"/>
      <c r="D114" s="29"/>
      <c r="E114" s="29"/>
      <c r="F114" s="29"/>
      <c r="G114" s="29"/>
      <c r="H114" s="30"/>
      <c r="I114" s="30"/>
      <c r="J114" s="30"/>
      <c r="K114" s="30"/>
      <c r="L114" s="30"/>
      <c r="M114" s="30"/>
      <c r="N114" s="30"/>
      <c r="O114" s="30"/>
      <c r="P114" s="30"/>
      <c r="Q114" s="30"/>
    </row>
    <row r="115" spans="2:17" x14ac:dyDescent="0.3">
      <c r="B115" s="29"/>
      <c r="C115" s="29"/>
      <c r="D115" s="29"/>
      <c r="E115" s="29"/>
      <c r="F115" s="29"/>
      <c r="G115" s="29"/>
      <c r="H115" s="30"/>
      <c r="I115" s="30"/>
      <c r="J115" s="30"/>
      <c r="K115" s="30"/>
      <c r="L115" s="30"/>
      <c r="M115" s="30"/>
      <c r="N115" s="30"/>
      <c r="O115" s="30"/>
      <c r="P115" s="30"/>
      <c r="Q115" s="30"/>
    </row>
    <row r="116" spans="2:17" x14ac:dyDescent="0.3">
      <c r="B116" s="29"/>
      <c r="C116" s="29"/>
      <c r="D116" s="29"/>
      <c r="E116" s="29"/>
      <c r="F116" s="29"/>
      <c r="G116" s="29"/>
      <c r="H116" s="30"/>
      <c r="I116" s="30"/>
      <c r="J116" s="30"/>
      <c r="K116" s="30"/>
      <c r="L116" s="30"/>
      <c r="M116" s="30"/>
      <c r="N116" s="30"/>
      <c r="O116" s="30"/>
      <c r="P116" s="30"/>
      <c r="Q116" s="30"/>
    </row>
    <row r="117" spans="2:17" x14ac:dyDescent="0.3">
      <c r="B117" s="29"/>
      <c r="C117" s="29"/>
      <c r="D117" s="29"/>
      <c r="E117" s="29"/>
      <c r="F117" s="29"/>
      <c r="G117" s="29"/>
      <c r="H117" s="30"/>
      <c r="I117" s="30"/>
      <c r="J117" s="30"/>
      <c r="K117" s="30"/>
      <c r="L117" s="30"/>
      <c r="M117" s="30"/>
      <c r="N117" s="30"/>
      <c r="O117" s="30"/>
      <c r="P117" s="30"/>
      <c r="Q117" s="30"/>
    </row>
    <row r="118" spans="2:17" x14ac:dyDescent="0.3">
      <c r="B118" s="29"/>
      <c r="C118" s="29"/>
      <c r="D118" s="29"/>
      <c r="E118" s="29"/>
      <c r="F118" s="29"/>
      <c r="G118" s="29"/>
      <c r="H118" s="30"/>
      <c r="I118" s="30"/>
      <c r="J118" s="30"/>
      <c r="K118" s="30"/>
      <c r="L118" s="30"/>
      <c r="M118" s="30"/>
      <c r="N118" s="30"/>
      <c r="O118" s="30"/>
      <c r="P118" s="30"/>
      <c r="Q118" s="30"/>
    </row>
    <row r="119" spans="2:17" x14ac:dyDescent="0.3">
      <c r="B119" s="29"/>
      <c r="C119" s="29"/>
      <c r="D119" s="29"/>
      <c r="E119" s="29"/>
      <c r="F119" s="29"/>
      <c r="G119" s="29"/>
      <c r="H119" s="30"/>
      <c r="I119" s="30"/>
      <c r="J119" s="30"/>
      <c r="K119" s="30"/>
      <c r="L119" s="30"/>
      <c r="M119" s="30"/>
      <c r="N119" s="30"/>
      <c r="O119" s="30"/>
      <c r="P119" s="30"/>
      <c r="Q119" s="30"/>
    </row>
    <row r="120" spans="2:17" x14ac:dyDescent="0.3">
      <c r="B120" s="29"/>
      <c r="C120" s="29"/>
      <c r="D120" s="29"/>
      <c r="E120" s="29"/>
      <c r="F120" s="29"/>
      <c r="G120" s="29"/>
      <c r="H120" s="30"/>
      <c r="I120" s="30"/>
      <c r="J120" s="30"/>
      <c r="K120" s="30"/>
      <c r="L120" s="30"/>
      <c r="M120" s="30"/>
      <c r="N120" s="30"/>
      <c r="O120" s="30"/>
      <c r="P120" s="30"/>
      <c r="Q120" s="30"/>
    </row>
    <row r="121" spans="2:17" x14ac:dyDescent="0.3">
      <c r="B121" s="29"/>
      <c r="C121" s="29"/>
      <c r="D121" s="29"/>
      <c r="E121" s="29"/>
      <c r="F121" s="29"/>
      <c r="G121" s="29"/>
      <c r="H121" s="30"/>
      <c r="I121" s="30"/>
      <c r="J121" s="30"/>
      <c r="K121" s="30"/>
      <c r="L121" s="30"/>
      <c r="M121" s="30"/>
      <c r="N121" s="30"/>
      <c r="O121" s="30"/>
      <c r="P121" s="30"/>
      <c r="Q121" s="30"/>
    </row>
    <row r="122" spans="2:17" x14ac:dyDescent="0.3">
      <c r="B122" s="29"/>
      <c r="C122" s="29"/>
      <c r="D122" s="29"/>
      <c r="E122" s="29"/>
      <c r="F122" s="29"/>
      <c r="G122" s="29"/>
      <c r="H122" s="30"/>
      <c r="I122" s="30"/>
      <c r="J122" s="30"/>
      <c r="K122" s="30"/>
      <c r="L122" s="30"/>
      <c r="M122" s="30"/>
      <c r="N122" s="30"/>
      <c r="O122" s="30"/>
      <c r="P122" s="30"/>
      <c r="Q122" s="30"/>
    </row>
    <row r="123" spans="2:17" x14ac:dyDescent="0.3">
      <c r="B123" s="29"/>
      <c r="C123" s="29"/>
      <c r="D123" s="29"/>
      <c r="E123" s="29"/>
      <c r="F123" s="29"/>
      <c r="G123" s="29"/>
      <c r="H123" s="30"/>
      <c r="I123" s="30"/>
      <c r="J123" s="30"/>
      <c r="K123" s="30"/>
      <c r="L123" s="30"/>
      <c r="M123" s="30"/>
      <c r="N123" s="30"/>
      <c r="O123" s="30"/>
      <c r="P123" s="30"/>
      <c r="Q123" s="30"/>
    </row>
    <row r="124" spans="2:17" x14ac:dyDescent="0.3">
      <c r="B124" s="29"/>
      <c r="C124" s="29"/>
      <c r="D124" s="29"/>
      <c r="E124" s="29"/>
      <c r="F124" s="29"/>
      <c r="G124" s="29"/>
      <c r="H124" s="30"/>
      <c r="I124" s="30"/>
      <c r="J124" s="30"/>
      <c r="K124" s="30"/>
      <c r="L124" s="30"/>
      <c r="M124" s="30"/>
      <c r="N124" s="30"/>
      <c r="O124" s="30"/>
      <c r="P124" s="30"/>
      <c r="Q124" s="30"/>
    </row>
    <row r="125" spans="2:17" x14ac:dyDescent="0.3">
      <c r="B125" s="29"/>
      <c r="C125" s="29"/>
      <c r="D125" s="29"/>
      <c r="E125" s="29"/>
      <c r="F125" s="29"/>
      <c r="G125" s="29"/>
      <c r="H125" s="30"/>
      <c r="I125" s="30"/>
      <c r="J125" s="30"/>
      <c r="K125" s="30"/>
      <c r="L125" s="30"/>
      <c r="M125" s="30"/>
      <c r="N125" s="30"/>
      <c r="O125" s="30"/>
      <c r="P125" s="30"/>
      <c r="Q125" s="30"/>
    </row>
    <row r="126" spans="2:17" x14ac:dyDescent="0.3">
      <c r="B126" s="29"/>
      <c r="C126" s="29"/>
      <c r="D126" s="29"/>
      <c r="E126" s="29"/>
      <c r="F126" s="29"/>
      <c r="G126" s="29"/>
      <c r="H126" s="30"/>
      <c r="I126" s="30"/>
      <c r="J126" s="30"/>
      <c r="K126" s="30"/>
      <c r="L126" s="30"/>
      <c r="M126" s="30"/>
      <c r="N126" s="30"/>
      <c r="O126" s="30"/>
      <c r="P126" s="30"/>
      <c r="Q126" s="30"/>
    </row>
    <row r="127" spans="2:17" x14ac:dyDescent="0.3">
      <c r="B127" s="29"/>
      <c r="C127" s="29"/>
      <c r="D127" s="29"/>
      <c r="E127" s="29"/>
      <c r="F127" s="29"/>
      <c r="G127" s="29"/>
      <c r="H127" s="30"/>
      <c r="I127" s="30"/>
      <c r="J127" s="30"/>
      <c r="K127" s="30"/>
      <c r="L127" s="30"/>
      <c r="M127" s="30"/>
      <c r="N127" s="30"/>
      <c r="O127" s="30"/>
      <c r="P127" s="30"/>
      <c r="Q127" s="30"/>
    </row>
    <row r="128" spans="2:17" x14ac:dyDescent="0.3">
      <c r="B128" s="29"/>
      <c r="C128" s="29"/>
      <c r="D128" s="29"/>
      <c r="E128" s="29"/>
      <c r="F128" s="29"/>
      <c r="G128" s="29"/>
      <c r="H128" s="30"/>
      <c r="I128" s="30"/>
      <c r="J128" s="30"/>
      <c r="K128" s="30"/>
      <c r="L128" s="30"/>
      <c r="M128" s="30"/>
      <c r="N128" s="30"/>
      <c r="O128" s="30"/>
      <c r="P128" s="30"/>
      <c r="Q128" s="30"/>
    </row>
    <row r="129" spans="2:17" x14ac:dyDescent="0.3">
      <c r="B129" s="29"/>
      <c r="C129" s="29"/>
      <c r="D129" s="29"/>
      <c r="E129" s="29"/>
      <c r="F129" s="29"/>
      <c r="G129" s="29"/>
      <c r="H129" s="30"/>
      <c r="I129" s="30"/>
      <c r="J129" s="30"/>
      <c r="K129" s="30"/>
      <c r="L129" s="30"/>
      <c r="M129" s="30"/>
      <c r="N129" s="30"/>
      <c r="O129" s="30"/>
      <c r="P129" s="30"/>
      <c r="Q129" s="30"/>
    </row>
    <row r="130" spans="2:17" x14ac:dyDescent="0.3">
      <c r="B130" s="29"/>
      <c r="C130" s="29"/>
      <c r="D130" s="29"/>
      <c r="E130" s="29"/>
      <c r="F130" s="29"/>
      <c r="G130" s="29"/>
      <c r="H130" s="30"/>
      <c r="I130" s="30"/>
      <c r="J130" s="30"/>
      <c r="K130" s="30"/>
      <c r="L130" s="30"/>
      <c r="M130" s="30"/>
      <c r="N130" s="30"/>
      <c r="O130" s="30"/>
      <c r="P130" s="30"/>
      <c r="Q130" s="30"/>
    </row>
    <row r="131" spans="2:17" x14ac:dyDescent="0.3">
      <c r="B131" s="29"/>
      <c r="C131" s="29"/>
      <c r="D131" s="29"/>
      <c r="E131" s="29"/>
      <c r="F131" s="29"/>
      <c r="G131" s="29"/>
      <c r="H131" s="30"/>
      <c r="I131" s="30"/>
      <c r="J131" s="30"/>
      <c r="K131" s="30"/>
      <c r="L131" s="30"/>
      <c r="M131" s="30"/>
      <c r="N131" s="30"/>
      <c r="O131" s="30"/>
      <c r="P131" s="30"/>
      <c r="Q131" s="30"/>
    </row>
    <row r="132" spans="2:17" x14ac:dyDescent="0.3">
      <c r="B132" s="29"/>
      <c r="C132" s="29"/>
      <c r="D132" s="29"/>
      <c r="E132" s="29"/>
      <c r="F132" s="29"/>
      <c r="G132" s="29"/>
      <c r="H132" s="30"/>
      <c r="I132" s="30"/>
      <c r="J132" s="30"/>
      <c r="K132" s="30"/>
      <c r="L132" s="30"/>
      <c r="M132" s="30"/>
      <c r="N132" s="30"/>
      <c r="O132" s="30"/>
      <c r="P132" s="30"/>
      <c r="Q132" s="30"/>
    </row>
    <row r="133" spans="2:17" x14ac:dyDescent="0.3">
      <c r="B133" s="29"/>
      <c r="C133" s="29"/>
      <c r="D133" s="29"/>
      <c r="E133" s="29"/>
      <c r="F133" s="29"/>
      <c r="G133" s="29"/>
      <c r="H133" s="30"/>
      <c r="I133" s="30"/>
      <c r="J133" s="30"/>
      <c r="K133" s="30"/>
      <c r="L133" s="30"/>
      <c r="M133" s="30"/>
      <c r="N133" s="30"/>
      <c r="O133" s="30"/>
      <c r="P133" s="30"/>
      <c r="Q133" s="30"/>
    </row>
    <row r="134" spans="2:17" x14ac:dyDescent="0.3">
      <c r="B134" s="29"/>
      <c r="C134" s="29"/>
      <c r="D134" s="29"/>
      <c r="E134" s="29"/>
      <c r="F134" s="29"/>
      <c r="G134" s="29"/>
      <c r="H134" s="30"/>
      <c r="I134" s="30"/>
      <c r="J134" s="30"/>
      <c r="K134" s="30"/>
      <c r="L134" s="30"/>
      <c r="M134" s="30"/>
      <c r="N134" s="30"/>
      <c r="O134" s="30"/>
      <c r="P134" s="30"/>
      <c r="Q134" s="30"/>
    </row>
    <row r="135" spans="2:17" x14ac:dyDescent="0.3">
      <c r="B135" s="29"/>
      <c r="C135" s="29"/>
      <c r="D135" s="29"/>
      <c r="E135" s="29"/>
      <c r="F135" s="29"/>
      <c r="G135" s="29"/>
      <c r="H135" s="30"/>
      <c r="I135" s="30"/>
      <c r="J135" s="30"/>
      <c r="K135" s="30"/>
      <c r="L135" s="30"/>
      <c r="M135" s="30"/>
      <c r="N135" s="30"/>
      <c r="O135" s="30"/>
      <c r="P135" s="30"/>
      <c r="Q135" s="30"/>
    </row>
    <row r="136" spans="2:17" x14ac:dyDescent="0.3">
      <c r="B136" s="29"/>
      <c r="C136" s="29"/>
      <c r="D136" s="29"/>
      <c r="E136" s="29"/>
      <c r="F136" s="29"/>
      <c r="G136" s="29"/>
      <c r="H136" s="30"/>
      <c r="I136" s="30"/>
      <c r="J136" s="30"/>
      <c r="K136" s="30"/>
      <c r="L136" s="30"/>
      <c r="M136" s="30"/>
      <c r="N136" s="30"/>
      <c r="O136" s="30"/>
      <c r="P136" s="30"/>
      <c r="Q136" s="30"/>
    </row>
    <row r="137" spans="2:17" x14ac:dyDescent="0.3">
      <c r="B137" s="29"/>
      <c r="C137" s="29"/>
      <c r="D137" s="29"/>
      <c r="E137" s="29"/>
      <c r="F137" s="29"/>
      <c r="G137" s="29"/>
      <c r="H137" s="30"/>
      <c r="I137" s="30"/>
      <c r="J137" s="30"/>
      <c r="K137" s="30"/>
      <c r="L137" s="30"/>
      <c r="M137" s="30"/>
      <c r="N137" s="30"/>
      <c r="O137" s="30"/>
      <c r="P137" s="30"/>
      <c r="Q137" s="30"/>
    </row>
    <row r="138" spans="2:17" x14ac:dyDescent="0.3">
      <c r="B138" s="29"/>
      <c r="C138" s="29"/>
      <c r="D138" s="29"/>
      <c r="E138" s="29"/>
      <c r="F138" s="29"/>
      <c r="G138" s="29"/>
      <c r="H138" s="30"/>
      <c r="I138" s="30"/>
      <c r="J138" s="30"/>
      <c r="K138" s="30"/>
      <c r="L138" s="30"/>
      <c r="M138" s="30"/>
      <c r="N138" s="30"/>
      <c r="O138" s="30"/>
      <c r="P138" s="30"/>
      <c r="Q138" s="30"/>
    </row>
    <row r="139" spans="2:17" x14ac:dyDescent="0.3">
      <c r="B139" s="29"/>
      <c r="C139" s="29"/>
      <c r="D139" s="29"/>
      <c r="E139" s="29"/>
      <c r="F139" s="29"/>
      <c r="G139" s="29"/>
      <c r="H139" s="30"/>
      <c r="I139" s="30"/>
      <c r="J139" s="30"/>
      <c r="K139" s="30"/>
      <c r="L139" s="30"/>
      <c r="M139" s="30"/>
      <c r="N139" s="30"/>
      <c r="O139" s="30"/>
      <c r="P139" s="30"/>
      <c r="Q139" s="30"/>
    </row>
    <row r="140" spans="2:17" x14ac:dyDescent="0.3">
      <c r="B140" s="29"/>
      <c r="C140" s="29"/>
      <c r="D140" s="29"/>
      <c r="E140" s="29"/>
      <c r="F140" s="29"/>
      <c r="G140" s="29"/>
      <c r="H140" s="30"/>
      <c r="I140" s="30"/>
      <c r="J140" s="30"/>
      <c r="K140" s="30"/>
      <c r="L140" s="30"/>
      <c r="M140" s="30"/>
      <c r="N140" s="30"/>
      <c r="O140" s="30"/>
      <c r="P140" s="30"/>
      <c r="Q140" s="30"/>
    </row>
    <row r="141" spans="2:17" x14ac:dyDescent="0.3">
      <c r="B141" s="29"/>
      <c r="C141" s="29"/>
      <c r="D141" s="29"/>
      <c r="E141" s="29"/>
      <c r="F141" s="29"/>
      <c r="G141" s="29"/>
      <c r="H141" s="30"/>
      <c r="I141" s="30"/>
      <c r="J141" s="30"/>
      <c r="K141" s="30"/>
      <c r="L141" s="30"/>
      <c r="M141" s="30"/>
      <c r="N141" s="30"/>
      <c r="O141" s="30"/>
      <c r="P141" s="30"/>
      <c r="Q141" s="30"/>
    </row>
    <row r="142" spans="2:17" x14ac:dyDescent="0.3">
      <c r="B142" s="29"/>
      <c r="C142" s="29"/>
      <c r="D142" s="29"/>
      <c r="E142" s="29"/>
      <c r="F142" s="29"/>
      <c r="G142" s="29"/>
      <c r="H142" s="30"/>
      <c r="I142" s="30"/>
      <c r="J142" s="30"/>
      <c r="K142" s="30"/>
      <c r="L142" s="30"/>
      <c r="M142" s="30"/>
      <c r="N142" s="30"/>
      <c r="O142" s="30"/>
      <c r="P142" s="30"/>
      <c r="Q142" s="30"/>
    </row>
    <row r="143" spans="2:17" x14ac:dyDescent="0.3">
      <c r="B143" s="29"/>
      <c r="C143" s="29"/>
      <c r="D143" s="29"/>
      <c r="E143" s="29"/>
      <c r="F143" s="29"/>
      <c r="G143" s="29"/>
      <c r="H143" s="30"/>
      <c r="I143" s="30"/>
      <c r="J143" s="30"/>
      <c r="K143" s="30"/>
      <c r="L143" s="30"/>
      <c r="M143" s="30"/>
      <c r="N143" s="30"/>
      <c r="O143" s="30"/>
      <c r="P143" s="30"/>
      <c r="Q143" s="30"/>
    </row>
    <row r="144" spans="2:17" x14ac:dyDescent="0.3">
      <c r="B144" s="29"/>
      <c r="C144" s="29"/>
      <c r="D144" s="29"/>
      <c r="E144" s="29"/>
      <c r="F144" s="29"/>
      <c r="G144" s="29"/>
      <c r="H144" s="30"/>
      <c r="I144" s="30"/>
      <c r="J144" s="30"/>
      <c r="K144" s="30"/>
      <c r="L144" s="30"/>
      <c r="M144" s="30"/>
      <c r="N144" s="30"/>
      <c r="O144" s="30"/>
      <c r="P144" s="30"/>
      <c r="Q144" s="30"/>
    </row>
    <row r="145" spans="2:17" x14ac:dyDescent="0.3">
      <c r="B145" s="29"/>
      <c r="C145" s="29"/>
      <c r="D145" s="29"/>
      <c r="E145" s="29"/>
      <c r="F145" s="29"/>
      <c r="G145" s="29"/>
      <c r="H145" s="30"/>
      <c r="I145" s="30"/>
      <c r="J145" s="30"/>
      <c r="K145" s="30"/>
      <c r="L145" s="30"/>
      <c r="M145" s="30"/>
      <c r="N145" s="30"/>
      <c r="O145" s="30"/>
      <c r="P145" s="30"/>
      <c r="Q145" s="30"/>
    </row>
    <row r="146" spans="2:17" x14ac:dyDescent="0.3">
      <c r="B146" s="29"/>
      <c r="C146" s="29"/>
      <c r="D146" s="29"/>
      <c r="E146" s="29"/>
      <c r="F146" s="29"/>
      <c r="G146" s="29"/>
      <c r="H146" s="30"/>
      <c r="I146" s="30"/>
      <c r="J146" s="30"/>
      <c r="K146" s="30"/>
      <c r="L146" s="30"/>
      <c r="M146" s="30"/>
      <c r="N146" s="30"/>
      <c r="O146" s="30"/>
      <c r="P146" s="30"/>
      <c r="Q146" s="30"/>
    </row>
    <row r="147" spans="2:17" x14ac:dyDescent="0.3">
      <c r="B147" s="29"/>
      <c r="C147" s="29"/>
      <c r="D147" s="29"/>
      <c r="E147" s="29"/>
      <c r="F147" s="29"/>
      <c r="G147" s="29"/>
      <c r="H147" s="30"/>
      <c r="I147" s="30"/>
      <c r="J147" s="30"/>
      <c r="K147" s="30"/>
      <c r="L147" s="30"/>
      <c r="M147" s="30"/>
      <c r="N147" s="30"/>
      <c r="O147" s="30"/>
      <c r="P147" s="30"/>
      <c r="Q147" s="30"/>
    </row>
    <row r="148" spans="2:17" x14ac:dyDescent="0.3">
      <c r="B148" s="29"/>
      <c r="C148" s="29"/>
      <c r="D148" s="29"/>
      <c r="E148" s="29"/>
      <c r="F148" s="29"/>
      <c r="G148" s="29"/>
      <c r="H148" s="30"/>
      <c r="I148" s="30"/>
      <c r="J148" s="30"/>
      <c r="K148" s="30"/>
      <c r="L148" s="30"/>
      <c r="M148" s="30"/>
      <c r="N148" s="30"/>
      <c r="O148" s="30"/>
      <c r="P148" s="30"/>
      <c r="Q148" s="30"/>
    </row>
    <row r="149" spans="2:17" x14ac:dyDescent="0.3">
      <c r="B149" s="29"/>
      <c r="C149" s="29"/>
      <c r="D149" s="29"/>
      <c r="E149" s="29"/>
      <c r="F149" s="29"/>
      <c r="G149" s="29"/>
      <c r="H149" s="30"/>
      <c r="I149" s="30"/>
      <c r="J149" s="30"/>
      <c r="K149" s="30"/>
      <c r="L149" s="30"/>
      <c r="M149" s="30"/>
      <c r="N149" s="30"/>
      <c r="O149" s="30"/>
      <c r="P149" s="30"/>
      <c r="Q149" s="30"/>
    </row>
    <row r="150" spans="2:17" x14ac:dyDescent="0.3">
      <c r="B150" s="29"/>
      <c r="C150" s="29"/>
      <c r="D150" s="29"/>
      <c r="E150" s="29"/>
      <c r="F150" s="29"/>
      <c r="G150" s="29"/>
      <c r="H150" s="30"/>
      <c r="I150" s="30"/>
      <c r="J150" s="30"/>
      <c r="K150" s="30"/>
      <c r="L150" s="30"/>
      <c r="M150" s="30"/>
      <c r="N150" s="30"/>
      <c r="O150" s="30"/>
      <c r="P150" s="30"/>
      <c r="Q150" s="30"/>
    </row>
    <row r="151" spans="2:17" x14ac:dyDescent="0.3">
      <c r="B151" s="29"/>
      <c r="C151" s="29"/>
      <c r="D151" s="29"/>
      <c r="E151" s="29"/>
      <c r="F151" s="29"/>
      <c r="G151" s="29"/>
      <c r="H151" s="30"/>
      <c r="I151" s="30"/>
      <c r="J151" s="30"/>
      <c r="K151" s="30"/>
      <c r="L151" s="30"/>
      <c r="M151" s="30"/>
      <c r="N151" s="30"/>
      <c r="O151" s="30"/>
      <c r="P151" s="30"/>
      <c r="Q151" s="30"/>
    </row>
    <row r="152" spans="2:17" x14ac:dyDescent="0.3">
      <c r="B152" s="29"/>
      <c r="C152" s="29"/>
      <c r="D152" s="29"/>
      <c r="E152" s="29"/>
      <c r="F152" s="29"/>
      <c r="G152" s="29"/>
      <c r="H152" s="30"/>
      <c r="I152" s="30"/>
      <c r="J152" s="30"/>
      <c r="K152" s="30"/>
      <c r="L152" s="30"/>
      <c r="M152" s="30"/>
      <c r="N152" s="30"/>
      <c r="O152" s="30"/>
      <c r="P152" s="30"/>
      <c r="Q152" s="30"/>
    </row>
    <row r="153" spans="2:17" x14ac:dyDescent="0.3">
      <c r="B153" s="29"/>
      <c r="C153" s="29"/>
      <c r="D153" s="29"/>
      <c r="E153" s="29"/>
      <c r="F153" s="29"/>
      <c r="G153" s="29"/>
      <c r="H153" s="30"/>
      <c r="I153" s="30"/>
      <c r="J153" s="30"/>
      <c r="K153" s="30"/>
      <c r="L153" s="30"/>
      <c r="M153" s="30"/>
      <c r="N153" s="30"/>
      <c r="O153" s="30"/>
      <c r="P153" s="30"/>
      <c r="Q153" s="30"/>
    </row>
  </sheetData>
  <mergeCells count="2">
    <mergeCell ref="A2:G2"/>
    <mergeCell ref="A110:G110"/>
  </mergeCells>
  <printOptions horizontalCentered="1" verticalCentered="1"/>
  <pageMargins left="0.78740157480314998" right="0.78740157480314998" top="0.98425196850393704" bottom="0.98425196850393704" header="0.511811023622047" footer="0.511811023622047"/>
  <pageSetup paperSize="9" scale="8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23">
    <tabColor indexed="60"/>
    <outlinePr applyStyles="1" summaryBelow="0"/>
    <pageSetUpPr fitToPage="1"/>
  </sheetPr>
  <dimension ref="A2:S247"/>
  <sheetViews>
    <sheetView zoomScaleNormal="100" workbookViewId="0">
      <selection activeCell="A8" sqref="A8"/>
    </sheetView>
  </sheetViews>
  <sheetFormatPr defaultColWidth="9.109375" defaultRowHeight="13.8" outlineLevelRow="1" x14ac:dyDescent="0.3"/>
  <cols>
    <col min="1" max="1" width="58.109375" style="26" bestFit="1" customWidth="1"/>
    <col min="2" max="2" width="12.44140625" style="27" bestFit="1" customWidth="1"/>
    <col min="3" max="3" width="13.5546875" style="27" bestFit="1" customWidth="1"/>
    <col min="4" max="4" width="10.33203125" style="76" customWidth="1"/>
    <col min="5" max="6" width="13.5546875" style="27" bestFit="1" customWidth="1"/>
    <col min="7" max="7" width="10.33203125" style="76" customWidth="1"/>
    <col min="8" max="8" width="12.6640625" style="27" hidden="1" customWidth="1"/>
    <col min="9" max="9" width="16.5546875" style="27" bestFit="1" customWidth="1"/>
    <col min="10" max="10" width="9.109375" style="26" customWidth="1"/>
    <col min="11" max="16384" width="9.109375" style="26"/>
  </cols>
  <sheetData>
    <row r="2" spans="1:19" ht="38.25" customHeight="1" x14ac:dyDescent="0.35">
      <c r="A2" s="294" t="str">
        <f>DEBT_BY_CONVENTIONAKITY</f>
        <v>Структура боргу за ознакою умовності
на кінець попереднього року та на звітну дату</v>
      </c>
      <c r="B2" s="3"/>
      <c r="C2" s="3"/>
      <c r="D2" s="3"/>
      <c r="E2" s="3"/>
      <c r="F2" s="3"/>
      <c r="G2" s="3"/>
      <c r="H2" s="3"/>
      <c r="I2" s="3"/>
      <c r="J2" s="30"/>
      <c r="K2" s="30"/>
      <c r="L2" s="30"/>
      <c r="M2" s="30"/>
      <c r="N2" s="30"/>
      <c r="O2" s="30"/>
      <c r="P2" s="30"/>
      <c r="Q2" s="30"/>
      <c r="R2" s="30"/>
      <c r="S2" s="30"/>
    </row>
    <row r="3" spans="1:19" x14ac:dyDescent="0.3">
      <c r="A3" s="28"/>
    </row>
    <row r="4" spans="1:19" s="31" customFormat="1" x14ac:dyDescent="0.3">
      <c r="B4" s="32"/>
      <c r="C4" s="32"/>
      <c r="D4" s="71"/>
      <c r="E4" s="32"/>
      <c r="F4" s="32"/>
      <c r="G4" s="71"/>
      <c r="H4" s="32" t="s">
        <v>116</v>
      </c>
      <c r="I4" s="31" t="str">
        <f>VALVAL</f>
        <v>млрд. одиниць</v>
      </c>
    </row>
    <row r="5" spans="1:19" s="57" customFormat="1" x14ac:dyDescent="0.25">
      <c r="A5" s="82"/>
      <c r="B5" s="288">
        <v>46022</v>
      </c>
      <c r="C5" s="289"/>
      <c r="D5" s="290"/>
      <c r="E5" s="288">
        <v>46265</v>
      </c>
      <c r="F5" s="289"/>
      <c r="G5" s="290"/>
      <c r="H5" s="83"/>
      <c r="I5" s="83"/>
    </row>
    <row r="6" spans="1:19" s="84" customFormat="1" x14ac:dyDescent="0.25">
      <c r="A6" s="16"/>
      <c r="B6" s="72" t="str">
        <f>USD</f>
        <v>дол. США</v>
      </c>
      <c r="C6" s="72" t="str">
        <f>UAH</f>
        <v>грн.</v>
      </c>
      <c r="D6" s="73" t="s">
        <v>0</v>
      </c>
      <c r="E6" s="72" t="str">
        <f>USD</f>
        <v>дол. США</v>
      </c>
      <c r="F6" s="72" t="str">
        <f>UAH</f>
        <v>грн.</v>
      </c>
      <c r="G6" s="73" t="s">
        <v>0</v>
      </c>
      <c r="H6" s="72" t="s">
        <v>0</v>
      </c>
      <c r="I6" s="72" t="str">
        <f>CHANGE_OF_STRUCTURE</f>
        <v>Зміна структури</v>
      </c>
    </row>
    <row r="7" spans="1:19" s="19" customFormat="1" ht="14.4" x14ac:dyDescent="0.25">
      <c r="A7" s="169" t="str">
        <f>DEBT_TOTAL</f>
        <v>Загальна сума державного та гарантованого державою боргу</v>
      </c>
      <c r="B7" s="138">
        <f t="shared" ref="B7:G7" si="0">SUM(B$8+ B$9)</f>
        <v>213.33206790508999</v>
      </c>
      <c r="C7" s="138">
        <f t="shared" si="0"/>
        <v>9042.6770279453904</v>
      </c>
      <c r="D7" s="139">
        <f t="shared" si="0"/>
        <v>1</v>
      </c>
      <c r="E7" s="138">
        <f t="shared" si="0"/>
        <v>215.55073598984998</v>
      </c>
      <c r="F7" s="138">
        <f t="shared" si="0"/>
        <v>9602.8930637009707</v>
      </c>
      <c r="G7" s="139">
        <f t="shared" si="0"/>
        <v>1</v>
      </c>
      <c r="H7" s="138"/>
      <c r="I7" s="138">
        <f>SUM(I$8+ I$9)</f>
        <v>0</v>
      </c>
    </row>
    <row r="8" spans="1:19" s="42" customFormat="1" outlineLevel="1" x14ac:dyDescent="0.25">
      <c r="A8" s="174" t="s">
        <v>1</v>
      </c>
      <c r="B8" s="180">
        <v>206.80464722402999</v>
      </c>
      <c r="C8" s="180">
        <v>8765.9940256002701</v>
      </c>
      <c r="D8" s="244">
        <v>0.96940300000000001</v>
      </c>
      <c r="E8" s="180">
        <v>209.76376640346999</v>
      </c>
      <c r="F8" s="180">
        <v>9345.0806751427208</v>
      </c>
      <c r="G8" s="244">
        <v>0.97315300000000005</v>
      </c>
      <c r="H8" s="180">
        <v>3.7499999999999999E-3</v>
      </c>
      <c r="I8" s="23">
        <v>-21.4</v>
      </c>
    </row>
    <row r="9" spans="1:19" s="42" customFormat="1" outlineLevel="1" x14ac:dyDescent="0.25">
      <c r="A9" s="174" t="s">
        <v>2</v>
      </c>
      <c r="B9" s="180">
        <v>6.5274206810599997</v>
      </c>
      <c r="C9" s="180">
        <v>276.68300234511997</v>
      </c>
      <c r="D9" s="244">
        <v>3.0596999999999999E-2</v>
      </c>
      <c r="E9" s="180">
        <v>5.7869695863799997</v>
      </c>
      <c r="F9" s="180">
        <v>257.81238855825001</v>
      </c>
      <c r="G9" s="244">
        <v>2.6846999999999999E-2</v>
      </c>
      <c r="H9" s="180">
        <v>-3.7499999999999999E-3</v>
      </c>
      <c r="I9" s="23">
        <v>21.4</v>
      </c>
    </row>
    <row r="10" spans="1:19" x14ac:dyDescent="0.3">
      <c r="B10" s="29"/>
      <c r="C10" s="29"/>
      <c r="D10" s="67"/>
      <c r="E10" s="29"/>
      <c r="F10" s="29"/>
      <c r="G10" s="67"/>
      <c r="H10" s="29"/>
      <c r="I10" s="29"/>
      <c r="J10" s="30"/>
      <c r="K10" s="30"/>
      <c r="L10" s="30"/>
      <c r="M10" s="30"/>
      <c r="N10" s="30"/>
      <c r="O10" s="30"/>
      <c r="P10" s="30"/>
      <c r="Q10" s="30"/>
    </row>
    <row r="11" spans="1:19" x14ac:dyDescent="0.3">
      <c r="B11" s="29"/>
      <c r="C11" s="29"/>
      <c r="D11" s="67"/>
      <c r="E11" s="29"/>
      <c r="F11" s="29"/>
      <c r="G11" s="67"/>
      <c r="H11" s="29"/>
      <c r="I11" s="29"/>
      <c r="J11" s="30"/>
      <c r="K11" s="30"/>
      <c r="L11" s="30"/>
      <c r="M11" s="30"/>
      <c r="N11" s="30"/>
      <c r="O11" s="30"/>
      <c r="P11" s="30"/>
      <c r="Q11" s="30"/>
    </row>
    <row r="12" spans="1:19" x14ac:dyDescent="0.3">
      <c r="B12" s="29"/>
      <c r="C12" s="29"/>
      <c r="D12" s="67"/>
      <c r="E12" s="29"/>
      <c r="F12" s="29"/>
      <c r="G12" s="67"/>
      <c r="H12" s="29"/>
      <c r="I12" s="29"/>
      <c r="J12" s="30"/>
      <c r="K12" s="30"/>
      <c r="L12" s="30"/>
      <c r="M12" s="30"/>
      <c r="N12" s="30"/>
      <c r="O12" s="30"/>
      <c r="P12" s="30"/>
      <c r="Q12" s="30"/>
    </row>
    <row r="13" spans="1:19" x14ac:dyDescent="0.3">
      <c r="B13" s="29"/>
      <c r="C13" s="29"/>
      <c r="D13" s="67"/>
      <c r="E13" s="29"/>
      <c r="F13" s="29"/>
      <c r="G13" s="67"/>
      <c r="H13" s="29"/>
      <c r="I13" s="29"/>
      <c r="J13" s="30"/>
      <c r="K13" s="30"/>
      <c r="L13" s="30"/>
      <c r="M13" s="30"/>
      <c r="N13" s="30"/>
      <c r="O13" s="30"/>
      <c r="P13" s="30"/>
      <c r="Q13" s="30"/>
    </row>
    <row r="14" spans="1:19" x14ac:dyDescent="0.3">
      <c r="B14" s="29"/>
      <c r="C14" s="29"/>
      <c r="D14" s="67"/>
      <c r="E14" s="29"/>
      <c r="F14" s="29"/>
      <c r="G14" s="67"/>
      <c r="H14" s="29"/>
      <c r="I14" s="29"/>
      <c r="J14" s="30"/>
      <c r="K14" s="30"/>
      <c r="L14" s="30"/>
      <c r="M14" s="30"/>
      <c r="N14" s="30"/>
      <c r="O14" s="30"/>
      <c r="P14" s="30"/>
      <c r="Q14" s="30"/>
    </row>
    <row r="15" spans="1:19" x14ac:dyDescent="0.3">
      <c r="B15" s="29"/>
      <c r="C15" s="29"/>
      <c r="D15" s="67"/>
      <c r="E15" s="29"/>
      <c r="F15" s="29"/>
      <c r="G15" s="67"/>
      <c r="H15" s="29"/>
      <c r="I15" s="29"/>
      <c r="J15" s="30"/>
      <c r="K15" s="30"/>
      <c r="L15" s="30"/>
      <c r="M15" s="30"/>
      <c r="N15" s="30"/>
      <c r="O15" s="30"/>
      <c r="P15" s="30"/>
      <c r="Q15" s="30"/>
    </row>
    <row r="16" spans="1:19" x14ac:dyDescent="0.3">
      <c r="B16" s="29"/>
      <c r="C16" s="29"/>
      <c r="D16" s="67"/>
      <c r="E16" s="29"/>
      <c r="F16" s="29"/>
      <c r="G16" s="67"/>
      <c r="H16" s="29"/>
      <c r="I16" s="29"/>
      <c r="J16" s="30"/>
      <c r="K16" s="30"/>
      <c r="L16" s="30"/>
      <c r="M16" s="30"/>
      <c r="N16" s="30"/>
      <c r="O16" s="30"/>
      <c r="P16" s="30"/>
      <c r="Q16" s="30"/>
    </row>
    <row r="17" spans="2:17" x14ac:dyDescent="0.3">
      <c r="B17" s="29"/>
      <c r="C17" s="29"/>
      <c r="D17" s="67"/>
      <c r="E17" s="29"/>
      <c r="F17" s="29"/>
      <c r="G17" s="67"/>
      <c r="H17" s="29"/>
      <c r="I17" s="29"/>
      <c r="J17" s="30"/>
      <c r="K17" s="30"/>
      <c r="L17" s="30"/>
      <c r="M17" s="30"/>
      <c r="N17" s="30"/>
      <c r="O17" s="30"/>
      <c r="P17" s="30"/>
      <c r="Q17" s="30"/>
    </row>
    <row r="18" spans="2:17" x14ac:dyDescent="0.3">
      <c r="B18" s="29"/>
      <c r="C18" s="29"/>
      <c r="D18" s="67"/>
      <c r="E18" s="29"/>
      <c r="F18" s="29"/>
      <c r="G18" s="67"/>
      <c r="H18" s="29"/>
      <c r="I18" s="29"/>
      <c r="J18" s="30"/>
      <c r="K18" s="30"/>
      <c r="L18" s="30"/>
      <c r="M18" s="30"/>
      <c r="N18" s="30"/>
      <c r="O18" s="30"/>
      <c r="P18" s="30"/>
      <c r="Q18" s="30"/>
    </row>
    <row r="19" spans="2:17" x14ac:dyDescent="0.3">
      <c r="B19" s="29"/>
      <c r="C19" s="29"/>
      <c r="D19" s="67"/>
      <c r="E19" s="29"/>
      <c r="F19" s="29"/>
      <c r="G19" s="67"/>
      <c r="H19" s="29"/>
      <c r="I19" s="29"/>
      <c r="J19" s="30"/>
      <c r="K19" s="30"/>
      <c r="L19" s="30"/>
      <c r="M19" s="30"/>
      <c r="N19" s="30"/>
      <c r="O19" s="30"/>
      <c r="P19" s="30"/>
      <c r="Q19" s="30"/>
    </row>
    <row r="20" spans="2:17" x14ac:dyDescent="0.3">
      <c r="B20" s="29"/>
      <c r="C20" s="29"/>
      <c r="D20" s="67"/>
      <c r="E20" s="29"/>
      <c r="F20" s="29"/>
      <c r="G20" s="67"/>
      <c r="H20" s="29"/>
      <c r="I20" s="29"/>
      <c r="J20" s="30"/>
      <c r="K20" s="30"/>
      <c r="L20" s="30"/>
      <c r="M20" s="30"/>
      <c r="N20" s="30"/>
      <c r="O20" s="30"/>
      <c r="P20" s="30"/>
      <c r="Q20" s="30"/>
    </row>
    <row r="21" spans="2:17" x14ac:dyDescent="0.3">
      <c r="B21" s="29"/>
      <c r="C21" s="29"/>
      <c r="D21" s="67"/>
      <c r="E21" s="29"/>
      <c r="F21" s="29"/>
      <c r="G21" s="67"/>
      <c r="H21" s="29"/>
      <c r="I21" s="29"/>
      <c r="J21" s="30"/>
      <c r="K21" s="30"/>
      <c r="L21" s="30"/>
      <c r="M21" s="30"/>
      <c r="N21" s="30"/>
      <c r="O21" s="30"/>
      <c r="P21" s="30"/>
      <c r="Q21" s="30"/>
    </row>
    <row r="22" spans="2:17" x14ac:dyDescent="0.3">
      <c r="B22" s="29"/>
      <c r="C22" s="29"/>
      <c r="D22" s="67"/>
      <c r="E22" s="29"/>
      <c r="F22" s="29"/>
      <c r="G22" s="67"/>
      <c r="H22" s="29"/>
      <c r="I22" s="29"/>
      <c r="J22" s="30"/>
      <c r="K22" s="30"/>
      <c r="L22" s="30"/>
      <c r="M22" s="30"/>
      <c r="N22" s="30"/>
      <c r="O22" s="30"/>
      <c r="P22" s="30"/>
      <c r="Q22" s="30"/>
    </row>
    <row r="23" spans="2:17" x14ac:dyDescent="0.3">
      <c r="B23" s="29"/>
      <c r="C23" s="29"/>
      <c r="D23" s="67"/>
      <c r="E23" s="29"/>
      <c r="F23" s="29"/>
      <c r="G23" s="67"/>
      <c r="H23" s="29"/>
      <c r="I23" s="29"/>
      <c r="J23" s="30"/>
      <c r="K23" s="30"/>
      <c r="L23" s="30"/>
      <c r="M23" s="30"/>
      <c r="N23" s="30"/>
      <c r="O23" s="30"/>
      <c r="P23" s="30"/>
      <c r="Q23" s="30"/>
    </row>
    <row r="24" spans="2:17" x14ac:dyDescent="0.3">
      <c r="B24" s="29"/>
      <c r="C24" s="29"/>
      <c r="D24" s="67"/>
      <c r="E24" s="29"/>
      <c r="F24" s="29"/>
      <c r="G24" s="67"/>
      <c r="H24" s="29"/>
      <c r="I24" s="29"/>
      <c r="J24" s="30"/>
      <c r="K24" s="30"/>
      <c r="L24" s="30"/>
      <c r="M24" s="30"/>
      <c r="N24" s="30"/>
      <c r="O24" s="30"/>
      <c r="P24" s="30"/>
      <c r="Q24" s="30"/>
    </row>
    <row r="25" spans="2:17" x14ac:dyDescent="0.3">
      <c r="B25" s="29"/>
      <c r="C25" s="29"/>
      <c r="D25" s="67"/>
      <c r="E25" s="29"/>
      <c r="F25" s="29"/>
      <c r="G25" s="67"/>
      <c r="H25" s="29"/>
      <c r="I25" s="29"/>
      <c r="J25" s="30"/>
      <c r="K25" s="30"/>
      <c r="L25" s="30"/>
      <c r="M25" s="30"/>
      <c r="N25" s="30"/>
      <c r="O25" s="30"/>
      <c r="P25" s="30"/>
      <c r="Q25" s="30"/>
    </row>
    <row r="26" spans="2:17" x14ac:dyDescent="0.3">
      <c r="B26" s="29"/>
      <c r="C26" s="29"/>
      <c r="D26" s="67"/>
      <c r="E26" s="29"/>
      <c r="F26" s="29"/>
      <c r="G26" s="67"/>
      <c r="H26" s="29"/>
      <c r="I26" s="29"/>
      <c r="J26" s="30"/>
      <c r="K26" s="30"/>
      <c r="L26" s="30"/>
      <c r="M26" s="30"/>
      <c r="N26" s="30"/>
      <c r="O26" s="30"/>
      <c r="P26" s="30"/>
      <c r="Q26" s="30"/>
    </row>
    <row r="27" spans="2:17" x14ac:dyDescent="0.3">
      <c r="B27" s="29"/>
      <c r="C27" s="29"/>
      <c r="D27" s="67"/>
      <c r="E27" s="29"/>
      <c r="F27" s="29"/>
      <c r="G27" s="67"/>
      <c r="H27" s="29"/>
      <c r="I27" s="29"/>
      <c r="J27" s="30"/>
      <c r="K27" s="30"/>
      <c r="L27" s="30"/>
      <c r="M27" s="30"/>
      <c r="N27" s="30"/>
      <c r="O27" s="30"/>
      <c r="P27" s="30"/>
      <c r="Q27" s="30"/>
    </row>
    <row r="28" spans="2:17" x14ac:dyDescent="0.3">
      <c r="B28" s="29"/>
      <c r="C28" s="29"/>
      <c r="D28" s="67"/>
      <c r="E28" s="29"/>
      <c r="F28" s="29"/>
      <c r="G28" s="67"/>
      <c r="H28" s="29"/>
      <c r="I28" s="29"/>
      <c r="J28" s="30"/>
      <c r="K28" s="30"/>
      <c r="L28" s="30"/>
      <c r="M28" s="30"/>
      <c r="N28" s="30"/>
      <c r="O28" s="30"/>
      <c r="P28" s="30"/>
      <c r="Q28" s="30"/>
    </row>
    <row r="29" spans="2:17" x14ac:dyDescent="0.3">
      <c r="B29" s="29"/>
      <c r="C29" s="29"/>
      <c r="D29" s="67"/>
      <c r="E29" s="29"/>
      <c r="F29" s="29"/>
      <c r="G29" s="67"/>
      <c r="H29" s="29"/>
      <c r="I29" s="29"/>
      <c r="J29" s="30"/>
      <c r="K29" s="30"/>
      <c r="L29" s="30"/>
      <c r="M29" s="30"/>
      <c r="N29" s="30"/>
      <c r="O29" s="30"/>
      <c r="P29" s="30"/>
      <c r="Q29" s="30"/>
    </row>
    <row r="30" spans="2:17" x14ac:dyDescent="0.3">
      <c r="B30" s="29"/>
      <c r="C30" s="29"/>
      <c r="D30" s="67"/>
      <c r="E30" s="29"/>
      <c r="F30" s="29"/>
      <c r="G30" s="67"/>
      <c r="H30" s="29"/>
      <c r="I30" s="29"/>
      <c r="J30" s="30"/>
      <c r="K30" s="30"/>
      <c r="L30" s="30"/>
      <c r="M30" s="30"/>
      <c r="N30" s="30"/>
      <c r="O30" s="30"/>
      <c r="P30" s="30"/>
      <c r="Q30" s="30"/>
    </row>
    <row r="31" spans="2:17" x14ac:dyDescent="0.3">
      <c r="B31" s="29"/>
      <c r="C31" s="29"/>
      <c r="D31" s="67"/>
      <c r="E31" s="29"/>
      <c r="F31" s="29"/>
      <c r="G31" s="67"/>
      <c r="H31" s="29"/>
      <c r="I31" s="29"/>
      <c r="J31" s="30"/>
      <c r="K31" s="30"/>
      <c r="L31" s="30"/>
      <c r="M31" s="30"/>
      <c r="N31" s="30"/>
      <c r="O31" s="30"/>
      <c r="P31" s="30"/>
      <c r="Q31" s="30"/>
    </row>
    <row r="32" spans="2:17" x14ac:dyDescent="0.3">
      <c r="B32" s="29"/>
      <c r="C32" s="29"/>
      <c r="D32" s="67"/>
      <c r="E32" s="29"/>
      <c r="F32" s="29"/>
      <c r="G32" s="67"/>
      <c r="H32" s="29"/>
      <c r="I32" s="29"/>
      <c r="J32" s="30"/>
      <c r="K32" s="30"/>
      <c r="L32" s="30"/>
      <c r="M32" s="30"/>
      <c r="N32" s="30"/>
      <c r="O32" s="30"/>
      <c r="P32" s="30"/>
      <c r="Q32" s="30"/>
    </row>
    <row r="33" spans="2:17" x14ac:dyDescent="0.3">
      <c r="B33" s="29"/>
      <c r="C33" s="29"/>
      <c r="D33" s="67"/>
      <c r="E33" s="29"/>
      <c r="F33" s="29"/>
      <c r="G33" s="67"/>
      <c r="H33" s="29"/>
      <c r="I33" s="29"/>
      <c r="J33" s="30"/>
      <c r="K33" s="30"/>
      <c r="L33" s="30"/>
      <c r="M33" s="30"/>
      <c r="N33" s="30"/>
      <c r="O33" s="30"/>
      <c r="P33" s="30"/>
      <c r="Q33" s="30"/>
    </row>
    <row r="34" spans="2:17" x14ac:dyDescent="0.3">
      <c r="B34" s="29"/>
      <c r="C34" s="29"/>
      <c r="D34" s="67"/>
      <c r="E34" s="29"/>
      <c r="F34" s="29"/>
      <c r="G34" s="67"/>
      <c r="H34" s="29"/>
      <c r="I34" s="29"/>
      <c r="J34" s="30"/>
      <c r="K34" s="30"/>
      <c r="L34" s="30"/>
      <c r="M34" s="30"/>
      <c r="N34" s="30"/>
      <c r="O34" s="30"/>
      <c r="P34" s="30"/>
      <c r="Q34" s="30"/>
    </row>
    <row r="35" spans="2:17" x14ac:dyDescent="0.3">
      <c r="B35" s="29"/>
      <c r="C35" s="29"/>
      <c r="D35" s="67"/>
      <c r="E35" s="29"/>
      <c r="F35" s="29"/>
      <c r="G35" s="67"/>
      <c r="H35" s="29"/>
      <c r="I35" s="29"/>
      <c r="J35" s="30"/>
      <c r="K35" s="30"/>
      <c r="L35" s="30"/>
      <c r="M35" s="30"/>
      <c r="N35" s="30"/>
      <c r="O35" s="30"/>
      <c r="P35" s="30"/>
      <c r="Q35" s="30"/>
    </row>
    <row r="36" spans="2:17" x14ac:dyDescent="0.3">
      <c r="B36" s="29"/>
      <c r="C36" s="29"/>
      <c r="D36" s="67"/>
      <c r="E36" s="29"/>
      <c r="F36" s="29"/>
      <c r="G36" s="67"/>
      <c r="H36" s="29"/>
      <c r="I36" s="29"/>
      <c r="J36" s="30"/>
      <c r="K36" s="30"/>
      <c r="L36" s="30"/>
      <c r="M36" s="30"/>
      <c r="N36" s="30"/>
      <c r="O36" s="30"/>
      <c r="P36" s="30"/>
      <c r="Q36" s="30"/>
    </row>
    <row r="37" spans="2:17" x14ac:dyDescent="0.3">
      <c r="B37" s="29"/>
      <c r="C37" s="29"/>
      <c r="D37" s="67"/>
      <c r="E37" s="29"/>
      <c r="F37" s="29"/>
      <c r="G37" s="67"/>
      <c r="H37" s="29"/>
      <c r="I37" s="29"/>
      <c r="J37" s="30"/>
      <c r="K37" s="30"/>
      <c r="L37" s="30"/>
      <c r="M37" s="30"/>
      <c r="N37" s="30"/>
      <c r="O37" s="30"/>
      <c r="P37" s="30"/>
      <c r="Q37" s="30"/>
    </row>
    <row r="38" spans="2:17" x14ac:dyDescent="0.3">
      <c r="B38" s="29"/>
      <c r="C38" s="29"/>
      <c r="D38" s="67"/>
      <c r="E38" s="29"/>
      <c r="F38" s="29"/>
      <c r="G38" s="67"/>
      <c r="H38" s="29"/>
      <c r="I38" s="29"/>
      <c r="J38" s="30"/>
      <c r="K38" s="30"/>
      <c r="L38" s="30"/>
      <c r="M38" s="30"/>
      <c r="N38" s="30"/>
      <c r="O38" s="30"/>
      <c r="P38" s="30"/>
      <c r="Q38" s="30"/>
    </row>
    <row r="39" spans="2:17" x14ac:dyDescent="0.3">
      <c r="B39" s="29"/>
      <c r="C39" s="29"/>
      <c r="D39" s="67"/>
      <c r="E39" s="29"/>
      <c r="F39" s="29"/>
      <c r="G39" s="67"/>
      <c r="H39" s="29"/>
      <c r="I39" s="29"/>
      <c r="J39" s="30"/>
      <c r="K39" s="30"/>
      <c r="L39" s="30"/>
      <c r="M39" s="30"/>
      <c r="N39" s="30"/>
      <c r="O39" s="30"/>
      <c r="P39" s="30"/>
      <c r="Q39" s="30"/>
    </row>
    <row r="40" spans="2:17" x14ac:dyDescent="0.3">
      <c r="B40" s="29"/>
      <c r="C40" s="29"/>
      <c r="D40" s="67"/>
      <c r="E40" s="29"/>
      <c r="F40" s="29"/>
      <c r="G40" s="67"/>
      <c r="H40" s="29"/>
      <c r="I40" s="29"/>
      <c r="J40" s="30"/>
      <c r="K40" s="30"/>
      <c r="L40" s="30"/>
      <c r="M40" s="30"/>
      <c r="N40" s="30"/>
      <c r="O40" s="30"/>
      <c r="P40" s="30"/>
      <c r="Q40" s="30"/>
    </row>
    <row r="41" spans="2:17" x14ac:dyDescent="0.3">
      <c r="B41" s="29"/>
      <c r="C41" s="29"/>
      <c r="D41" s="67"/>
      <c r="E41" s="29"/>
      <c r="F41" s="29"/>
      <c r="G41" s="67"/>
      <c r="H41" s="29"/>
      <c r="I41" s="29"/>
      <c r="J41" s="30"/>
      <c r="K41" s="30"/>
      <c r="L41" s="30"/>
      <c r="M41" s="30"/>
      <c r="N41" s="30"/>
      <c r="O41" s="30"/>
      <c r="P41" s="30"/>
      <c r="Q41" s="30"/>
    </row>
    <row r="42" spans="2:17" x14ac:dyDescent="0.3">
      <c r="B42" s="29"/>
      <c r="C42" s="29"/>
      <c r="D42" s="67"/>
      <c r="E42" s="29"/>
      <c r="F42" s="29"/>
      <c r="G42" s="67"/>
      <c r="H42" s="29"/>
      <c r="I42" s="29"/>
      <c r="J42" s="30"/>
      <c r="K42" s="30"/>
      <c r="L42" s="30"/>
      <c r="M42" s="30"/>
      <c r="N42" s="30"/>
      <c r="O42" s="30"/>
      <c r="P42" s="30"/>
      <c r="Q42" s="30"/>
    </row>
    <row r="43" spans="2:17" x14ac:dyDescent="0.3">
      <c r="B43" s="29"/>
      <c r="C43" s="29"/>
      <c r="D43" s="67"/>
      <c r="E43" s="29"/>
      <c r="F43" s="29"/>
      <c r="G43" s="67"/>
      <c r="H43" s="29"/>
      <c r="I43" s="29"/>
      <c r="J43" s="30"/>
      <c r="K43" s="30"/>
      <c r="L43" s="30"/>
      <c r="M43" s="30"/>
      <c r="N43" s="30"/>
      <c r="O43" s="30"/>
      <c r="P43" s="30"/>
      <c r="Q43" s="30"/>
    </row>
    <row r="44" spans="2:17" x14ac:dyDescent="0.3">
      <c r="B44" s="29"/>
      <c r="C44" s="29"/>
      <c r="D44" s="67"/>
      <c r="E44" s="29"/>
      <c r="F44" s="29"/>
      <c r="G44" s="67"/>
      <c r="H44" s="29"/>
      <c r="I44" s="29"/>
      <c r="J44" s="30"/>
      <c r="K44" s="30"/>
      <c r="L44" s="30"/>
      <c r="M44" s="30"/>
      <c r="N44" s="30"/>
      <c r="O44" s="30"/>
      <c r="P44" s="30"/>
      <c r="Q44" s="30"/>
    </row>
    <row r="45" spans="2:17" x14ac:dyDescent="0.3">
      <c r="B45" s="29"/>
      <c r="C45" s="29"/>
      <c r="D45" s="67"/>
      <c r="E45" s="29"/>
      <c r="F45" s="29"/>
      <c r="G45" s="67"/>
      <c r="H45" s="29"/>
      <c r="I45" s="29"/>
      <c r="J45" s="30"/>
      <c r="K45" s="30"/>
      <c r="L45" s="30"/>
      <c r="M45" s="30"/>
      <c r="N45" s="30"/>
      <c r="O45" s="30"/>
      <c r="P45" s="30"/>
      <c r="Q45" s="30"/>
    </row>
    <row r="46" spans="2:17" x14ac:dyDescent="0.3">
      <c r="B46" s="29"/>
      <c r="C46" s="29"/>
      <c r="D46" s="67"/>
      <c r="E46" s="29"/>
      <c r="F46" s="29"/>
      <c r="G46" s="67"/>
      <c r="H46" s="29"/>
      <c r="I46" s="29"/>
      <c r="J46" s="30"/>
      <c r="K46" s="30"/>
      <c r="L46" s="30"/>
      <c r="M46" s="30"/>
      <c r="N46" s="30"/>
      <c r="O46" s="30"/>
      <c r="P46" s="30"/>
      <c r="Q46" s="30"/>
    </row>
    <row r="47" spans="2:17" x14ac:dyDescent="0.3">
      <c r="B47" s="29"/>
      <c r="C47" s="29"/>
      <c r="D47" s="67"/>
      <c r="E47" s="29"/>
      <c r="F47" s="29"/>
      <c r="G47" s="67"/>
      <c r="H47" s="29"/>
      <c r="I47" s="29"/>
      <c r="J47" s="30"/>
      <c r="K47" s="30"/>
      <c r="L47" s="30"/>
      <c r="M47" s="30"/>
      <c r="N47" s="30"/>
      <c r="O47" s="30"/>
      <c r="P47" s="30"/>
      <c r="Q47" s="30"/>
    </row>
    <row r="48" spans="2:17" x14ac:dyDescent="0.3">
      <c r="B48" s="29"/>
      <c r="C48" s="29"/>
      <c r="D48" s="67"/>
      <c r="E48" s="29"/>
      <c r="F48" s="29"/>
      <c r="G48" s="67"/>
      <c r="H48" s="29"/>
      <c r="I48" s="29"/>
      <c r="J48" s="30"/>
      <c r="K48" s="30"/>
      <c r="L48" s="30"/>
      <c r="M48" s="30"/>
      <c r="N48" s="30"/>
      <c r="O48" s="30"/>
      <c r="P48" s="30"/>
      <c r="Q48" s="30"/>
    </row>
    <row r="49" spans="2:17" x14ac:dyDescent="0.3">
      <c r="B49" s="29"/>
      <c r="C49" s="29"/>
      <c r="D49" s="67"/>
      <c r="E49" s="29"/>
      <c r="F49" s="29"/>
      <c r="G49" s="67"/>
      <c r="H49" s="29"/>
      <c r="I49" s="29"/>
      <c r="J49" s="30"/>
      <c r="K49" s="30"/>
      <c r="L49" s="30"/>
      <c r="M49" s="30"/>
      <c r="N49" s="30"/>
      <c r="O49" s="30"/>
      <c r="P49" s="30"/>
      <c r="Q49" s="30"/>
    </row>
    <row r="50" spans="2:17" x14ac:dyDescent="0.3">
      <c r="B50" s="29"/>
      <c r="C50" s="29"/>
      <c r="D50" s="67"/>
      <c r="E50" s="29"/>
      <c r="F50" s="29"/>
      <c r="G50" s="67"/>
      <c r="H50" s="29"/>
      <c r="I50" s="29"/>
      <c r="J50" s="30"/>
      <c r="K50" s="30"/>
      <c r="L50" s="30"/>
      <c r="M50" s="30"/>
      <c r="N50" s="30"/>
      <c r="O50" s="30"/>
      <c r="P50" s="30"/>
      <c r="Q50" s="30"/>
    </row>
    <row r="51" spans="2:17" x14ac:dyDescent="0.3">
      <c r="B51" s="29"/>
      <c r="C51" s="29"/>
      <c r="D51" s="67"/>
      <c r="E51" s="29"/>
      <c r="F51" s="29"/>
      <c r="G51" s="67"/>
      <c r="H51" s="29"/>
      <c r="I51" s="29"/>
      <c r="J51" s="30"/>
      <c r="K51" s="30"/>
      <c r="L51" s="30"/>
      <c r="M51" s="30"/>
      <c r="N51" s="30"/>
      <c r="O51" s="30"/>
      <c r="P51" s="30"/>
      <c r="Q51" s="30"/>
    </row>
    <row r="52" spans="2:17" x14ac:dyDescent="0.3">
      <c r="B52" s="29"/>
      <c r="C52" s="29"/>
      <c r="D52" s="67"/>
      <c r="E52" s="29"/>
      <c r="F52" s="29"/>
      <c r="G52" s="67"/>
      <c r="H52" s="29"/>
      <c r="I52" s="29"/>
      <c r="J52" s="30"/>
      <c r="K52" s="30"/>
      <c r="L52" s="30"/>
      <c r="M52" s="30"/>
      <c r="N52" s="30"/>
      <c r="O52" s="30"/>
      <c r="P52" s="30"/>
      <c r="Q52" s="30"/>
    </row>
    <row r="53" spans="2:17" x14ac:dyDescent="0.3">
      <c r="B53" s="29"/>
      <c r="C53" s="29"/>
      <c r="D53" s="67"/>
      <c r="E53" s="29"/>
      <c r="F53" s="29"/>
      <c r="G53" s="67"/>
      <c r="H53" s="29"/>
      <c r="I53" s="29"/>
      <c r="J53" s="30"/>
      <c r="K53" s="30"/>
      <c r="L53" s="30"/>
      <c r="M53" s="30"/>
      <c r="N53" s="30"/>
      <c r="O53" s="30"/>
      <c r="P53" s="30"/>
      <c r="Q53" s="30"/>
    </row>
    <row r="54" spans="2:17" x14ac:dyDescent="0.3">
      <c r="B54" s="29"/>
      <c r="C54" s="29"/>
      <c r="D54" s="67"/>
      <c r="E54" s="29"/>
      <c r="F54" s="29"/>
      <c r="G54" s="67"/>
      <c r="H54" s="29"/>
      <c r="I54" s="29"/>
      <c r="J54" s="30"/>
      <c r="K54" s="30"/>
      <c r="L54" s="30"/>
      <c r="M54" s="30"/>
      <c r="N54" s="30"/>
      <c r="O54" s="30"/>
      <c r="P54" s="30"/>
      <c r="Q54" s="30"/>
    </row>
    <row r="55" spans="2:17" x14ac:dyDescent="0.3">
      <c r="B55" s="29"/>
      <c r="C55" s="29"/>
      <c r="D55" s="67"/>
      <c r="E55" s="29"/>
      <c r="F55" s="29"/>
      <c r="G55" s="67"/>
      <c r="H55" s="29"/>
      <c r="I55" s="29"/>
      <c r="J55" s="30"/>
      <c r="K55" s="30"/>
      <c r="L55" s="30"/>
      <c r="M55" s="30"/>
      <c r="N55" s="30"/>
      <c r="O55" s="30"/>
      <c r="P55" s="30"/>
      <c r="Q55" s="30"/>
    </row>
    <row r="56" spans="2:17" x14ac:dyDescent="0.3">
      <c r="B56" s="29"/>
      <c r="C56" s="29"/>
      <c r="D56" s="67"/>
      <c r="E56" s="29"/>
      <c r="F56" s="29"/>
      <c r="G56" s="67"/>
      <c r="H56" s="29"/>
      <c r="I56" s="29"/>
      <c r="J56" s="30"/>
      <c r="K56" s="30"/>
      <c r="L56" s="30"/>
      <c r="M56" s="30"/>
      <c r="N56" s="30"/>
      <c r="O56" s="30"/>
      <c r="P56" s="30"/>
      <c r="Q56" s="30"/>
    </row>
    <row r="57" spans="2:17" x14ac:dyDescent="0.3">
      <c r="B57" s="29"/>
      <c r="C57" s="29"/>
      <c r="D57" s="67"/>
      <c r="E57" s="29"/>
      <c r="F57" s="29"/>
      <c r="G57" s="67"/>
      <c r="H57" s="29"/>
      <c r="I57" s="29"/>
      <c r="J57" s="30"/>
      <c r="K57" s="30"/>
      <c r="L57" s="30"/>
      <c r="M57" s="30"/>
      <c r="N57" s="30"/>
      <c r="O57" s="30"/>
      <c r="P57" s="30"/>
      <c r="Q57" s="30"/>
    </row>
    <row r="58" spans="2:17" x14ac:dyDescent="0.3">
      <c r="B58" s="29"/>
      <c r="C58" s="29"/>
      <c r="D58" s="67"/>
      <c r="E58" s="29"/>
      <c r="F58" s="29"/>
      <c r="G58" s="67"/>
      <c r="H58" s="29"/>
      <c r="I58" s="29"/>
      <c r="J58" s="30"/>
      <c r="K58" s="30"/>
      <c r="L58" s="30"/>
      <c r="M58" s="30"/>
      <c r="N58" s="30"/>
      <c r="O58" s="30"/>
      <c r="P58" s="30"/>
      <c r="Q58" s="30"/>
    </row>
    <row r="59" spans="2:17" x14ac:dyDescent="0.3">
      <c r="B59" s="29"/>
      <c r="C59" s="29"/>
      <c r="D59" s="67"/>
      <c r="E59" s="29"/>
      <c r="F59" s="29"/>
      <c r="G59" s="67"/>
      <c r="H59" s="29"/>
      <c r="I59" s="29"/>
      <c r="J59" s="30"/>
      <c r="K59" s="30"/>
      <c r="L59" s="30"/>
      <c r="M59" s="30"/>
      <c r="N59" s="30"/>
      <c r="O59" s="30"/>
      <c r="P59" s="30"/>
      <c r="Q59" s="30"/>
    </row>
    <row r="60" spans="2:17" x14ac:dyDescent="0.3">
      <c r="B60" s="29"/>
      <c r="C60" s="29"/>
      <c r="D60" s="67"/>
      <c r="E60" s="29"/>
      <c r="F60" s="29"/>
      <c r="G60" s="67"/>
      <c r="H60" s="29"/>
      <c r="I60" s="29"/>
      <c r="J60" s="30"/>
      <c r="K60" s="30"/>
      <c r="L60" s="30"/>
      <c r="M60" s="30"/>
      <c r="N60" s="30"/>
      <c r="O60" s="30"/>
      <c r="P60" s="30"/>
      <c r="Q60" s="30"/>
    </row>
    <row r="61" spans="2:17" x14ac:dyDescent="0.3">
      <c r="B61" s="29"/>
      <c r="C61" s="29"/>
      <c r="D61" s="67"/>
      <c r="E61" s="29"/>
      <c r="F61" s="29"/>
      <c r="G61" s="67"/>
      <c r="H61" s="29"/>
      <c r="I61" s="29"/>
      <c r="J61" s="30"/>
      <c r="K61" s="30"/>
      <c r="L61" s="30"/>
      <c r="M61" s="30"/>
      <c r="N61" s="30"/>
      <c r="O61" s="30"/>
      <c r="P61" s="30"/>
      <c r="Q61" s="30"/>
    </row>
    <row r="62" spans="2:17" x14ac:dyDescent="0.3">
      <c r="B62" s="29"/>
      <c r="C62" s="29"/>
      <c r="D62" s="67"/>
      <c r="E62" s="29"/>
      <c r="F62" s="29"/>
      <c r="G62" s="67"/>
      <c r="H62" s="29"/>
      <c r="I62" s="29"/>
      <c r="J62" s="30"/>
      <c r="K62" s="30"/>
      <c r="L62" s="30"/>
      <c r="M62" s="30"/>
      <c r="N62" s="30"/>
      <c r="O62" s="30"/>
      <c r="P62" s="30"/>
      <c r="Q62" s="30"/>
    </row>
    <row r="63" spans="2:17" x14ac:dyDescent="0.3">
      <c r="B63" s="29"/>
      <c r="C63" s="29"/>
      <c r="D63" s="67"/>
      <c r="E63" s="29"/>
      <c r="F63" s="29"/>
      <c r="G63" s="67"/>
      <c r="H63" s="29"/>
      <c r="I63" s="29"/>
      <c r="J63" s="30"/>
      <c r="K63" s="30"/>
      <c r="L63" s="30"/>
      <c r="M63" s="30"/>
      <c r="N63" s="30"/>
      <c r="O63" s="30"/>
      <c r="P63" s="30"/>
      <c r="Q63" s="30"/>
    </row>
    <row r="64" spans="2:17" x14ac:dyDescent="0.3">
      <c r="B64" s="29"/>
      <c r="C64" s="29"/>
      <c r="D64" s="67"/>
      <c r="E64" s="29"/>
      <c r="F64" s="29"/>
      <c r="G64" s="67"/>
      <c r="H64" s="29"/>
      <c r="I64" s="29"/>
      <c r="J64" s="30"/>
      <c r="K64" s="30"/>
      <c r="L64" s="30"/>
      <c r="M64" s="30"/>
      <c r="N64" s="30"/>
      <c r="O64" s="30"/>
      <c r="P64" s="30"/>
      <c r="Q64" s="30"/>
    </row>
    <row r="65" spans="2:17" x14ac:dyDescent="0.3">
      <c r="B65" s="29"/>
      <c r="C65" s="29"/>
      <c r="D65" s="67"/>
      <c r="E65" s="29"/>
      <c r="F65" s="29"/>
      <c r="G65" s="67"/>
      <c r="H65" s="29"/>
      <c r="I65" s="29"/>
      <c r="J65" s="30"/>
      <c r="K65" s="30"/>
      <c r="L65" s="30"/>
      <c r="M65" s="30"/>
      <c r="N65" s="30"/>
      <c r="O65" s="30"/>
      <c r="P65" s="30"/>
      <c r="Q65" s="30"/>
    </row>
    <row r="66" spans="2:17" x14ac:dyDescent="0.3">
      <c r="B66" s="29"/>
      <c r="C66" s="29"/>
      <c r="D66" s="67"/>
      <c r="E66" s="29"/>
      <c r="F66" s="29"/>
      <c r="G66" s="67"/>
      <c r="H66" s="29"/>
      <c r="I66" s="29"/>
      <c r="J66" s="30"/>
      <c r="K66" s="30"/>
      <c r="L66" s="30"/>
      <c r="M66" s="30"/>
      <c r="N66" s="30"/>
      <c r="O66" s="30"/>
      <c r="P66" s="30"/>
      <c r="Q66" s="30"/>
    </row>
    <row r="67" spans="2:17" x14ac:dyDescent="0.3">
      <c r="B67" s="29"/>
      <c r="C67" s="29"/>
      <c r="D67" s="67"/>
      <c r="E67" s="29"/>
      <c r="F67" s="29"/>
      <c r="G67" s="67"/>
      <c r="H67" s="29"/>
      <c r="I67" s="29"/>
      <c r="J67" s="30"/>
      <c r="K67" s="30"/>
      <c r="L67" s="30"/>
      <c r="M67" s="30"/>
      <c r="N67" s="30"/>
      <c r="O67" s="30"/>
      <c r="P67" s="30"/>
      <c r="Q67" s="30"/>
    </row>
    <row r="68" spans="2:17" x14ac:dyDescent="0.3">
      <c r="B68" s="29"/>
      <c r="C68" s="29"/>
      <c r="D68" s="67"/>
      <c r="E68" s="29"/>
      <c r="F68" s="29"/>
      <c r="G68" s="67"/>
      <c r="H68" s="29"/>
      <c r="I68" s="29"/>
      <c r="J68" s="30"/>
      <c r="K68" s="30"/>
      <c r="L68" s="30"/>
      <c r="M68" s="30"/>
      <c r="N68" s="30"/>
      <c r="O68" s="30"/>
      <c r="P68" s="30"/>
      <c r="Q68" s="30"/>
    </row>
    <row r="69" spans="2:17" x14ac:dyDescent="0.3">
      <c r="B69" s="29"/>
      <c r="C69" s="29"/>
      <c r="D69" s="67"/>
      <c r="E69" s="29"/>
      <c r="F69" s="29"/>
      <c r="G69" s="67"/>
      <c r="H69" s="29"/>
      <c r="I69" s="29"/>
      <c r="J69" s="30"/>
      <c r="K69" s="30"/>
      <c r="L69" s="30"/>
      <c r="M69" s="30"/>
      <c r="N69" s="30"/>
      <c r="O69" s="30"/>
      <c r="P69" s="30"/>
      <c r="Q69" s="30"/>
    </row>
    <row r="70" spans="2:17" x14ac:dyDescent="0.3">
      <c r="B70" s="29"/>
      <c r="C70" s="29"/>
      <c r="D70" s="67"/>
      <c r="E70" s="29"/>
      <c r="F70" s="29"/>
      <c r="G70" s="67"/>
      <c r="H70" s="29"/>
      <c r="I70" s="29"/>
      <c r="J70" s="30"/>
      <c r="K70" s="30"/>
      <c r="L70" s="30"/>
      <c r="M70" s="30"/>
      <c r="N70" s="30"/>
      <c r="O70" s="30"/>
      <c r="P70" s="30"/>
      <c r="Q70" s="30"/>
    </row>
    <row r="71" spans="2:17" x14ac:dyDescent="0.3">
      <c r="B71" s="29"/>
      <c r="C71" s="29"/>
      <c r="D71" s="67"/>
      <c r="E71" s="29"/>
      <c r="F71" s="29"/>
      <c r="G71" s="67"/>
      <c r="H71" s="29"/>
      <c r="I71" s="29"/>
      <c r="J71" s="30"/>
      <c r="K71" s="30"/>
      <c r="L71" s="30"/>
      <c r="M71" s="30"/>
      <c r="N71" s="30"/>
      <c r="O71" s="30"/>
      <c r="P71" s="30"/>
      <c r="Q71" s="30"/>
    </row>
    <row r="72" spans="2:17" x14ac:dyDescent="0.3">
      <c r="B72" s="29"/>
      <c r="C72" s="29"/>
      <c r="D72" s="67"/>
      <c r="E72" s="29"/>
      <c r="F72" s="29"/>
      <c r="G72" s="67"/>
      <c r="H72" s="29"/>
      <c r="I72" s="29"/>
      <c r="J72" s="30"/>
      <c r="K72" s="30"/>
      <c r="L72" s="30"/>
      <c r="M72" s="30"/>
      <c r="N72" s="30"/>
      <c r="O72" s="30"/>
      <c r="P72" s="30"/>
      <c r="Q72" s="30"/>
    </row>
    <row r="73" spans="2:17" x14ac:dyDescent="0.3">
      <c r="B73" s="29"/>
      <c r="C73" s="29"/>
      <c r="D73" s="67"/>
      <c r="E73" s="29"/>
      <c r="F73" s="29"/>
      <c r="G73" s="67"/>
      <c r="H73" s="29"/>
      <c r="I73" s="29"/>
      <c r="J73" s="30"/>
      <c r="K73" s="30"/>
      <c r="L73" s="30"/>
      <c r="M73" s="30"/>
      <c r="N73" s="30"/>
      <c r="O73" s="30"/>
      <c r="P73" s="30"/>
      <c r="Q73" s="30"/>
    </row>
    <row r="74" spans="2:17" x14ac:dyDescent="0.3">
      <c r="B74" s="29"/>
      <c r="C74" s="29"/>
      <c r="D74" s="67"/>
      <c r="E74" s="29"/>
      <c r="F74" s="29"/>
      <c r="G74" s="67"/>
      <c r="H74" s="29"/>
      <c r="I74" s="29"/>
      <c r="J74" s="30"/>
      <c r="K74" s="30"/>
      <c r="L74" s="30"/>
      <c r="M74" s="30"/>
      <c r="N74" s="30"/>
      <c r="O74" s="30"/>
      <c r="P74" s="30"/>
      <c r="Q74" s="30"/>
    </row>
    <row r="75" spans="2:17" x14ac:dyDescent="0.3">
      <c r="B75" s="29"/>
      <c r="C75" s="29"/>
      <c r="D75" s="67"/>
      <c r="E75" s="29"/>
      <c r="F75" s="29"/>
      <c r="G75" s="67"/>
      <c r="H75" s="29"/>
      <c r="I75" s="29"/>
      <c r="J75" s="30"/>
      <c r="K75" s="30"/>
      <c r="L75" s="30"/>
      <c r="M75" s="30"/>
      <c r="N75" s="30"/>
      <c r="O75" s="30"/>
      <c r="P75" s="30"/>
      <c r="Q75" s="30"/>
    </row>
    <row r="76" spans="2:17" x14ac:dyDescent="0.3">
      <c r="B76" s="29"/>
      <c r="C76" s="29"/>
      <c r="D76" s="67"/>
      <c r="E76" s="29"/>
      <c r="F76" s="29"/>
      <c r="G76" s="67"/>
      <c r="H76" s="29"/>
      <c r="I76" s="29"/>
      <c r="J76" s="30"/>
      <c r="K76" s="30"/>
      <c r="L76" s="30"/>
      <c r="M76" s="30"/>
      <c r="N76" s="30"/>
      <c r="O76" s="30"/>
      <c r="P76" s="30"/>
      <c r="Q76" s="30"/>
    </row>
    <row r="77" spans="2:17" x14ac:dyDescent="0.3">
      <c r="B77" s="29"/>
      <c r="C77" s="29"/>
      <c r="D77" s="67"/>
      <c r="E77" s="29"/>
      <c r="F77" s="29"/>
      <c r="G77" s="67"/>
      <c r="H77" s="29"/>
      <c r="I77" s="29"/>
      <c r="J77" s="30"/>
      <c r="K77" s="30"/>
      <c r="L77" s="30"/>
      <c r="M77" s="30"/>
      <c r="N77" s="30"/>
      <c r="O77" s="30"/>
      <c r="P77" s="30"/>
      <c r="Q77" s="30"/>
    </row>
    <row r="78" spans="2:17" x14ac:dyDescent="0.3">
      <c r="B78" s="29"/>
      <c r="C78" s="29"/>
      <c r="D78" s="67"/>
      <c r="E78" s="29"/>
      <c r="F78" s="29"/>
      <c r="G78" s="67"/>
      <c r="H78" s="29"/>
      <c r="I78" s="29"/>
      <c r="J78" s="30"/>
      <c r="K78" s="30"/>
      <c r="L78" s="30"/>
      <c r="M78" s="30"/>
      <c r="N78" s="30"/>
      <c r="O78" s="30"/>
      <c r="P78" s="30"/>
      <c r="Q78" s="30"/>
    </row>
    <row r="79" spans="2:17" x14ac:dyDescent="0.3">
      <c r="B79" s="29"/>
      <c r="C79" s="29"/>
      <c r="D79" s="67"/>
      <c r="E79" s="29"/>
      <c r="F79" s="29"/>
      <c r="G79" s="67"/>
      <c r="H79" s="29"/>
      <c r="I79" s="29"/>
      <c r="J79" s="30"/>
      <c r="K79" s="30"/>
      <c r="L79" s="30"/>
      <c r="M79" s="30"/>
      <c r="N79" s="30"/>
      <c r="O79" s="30"/>
      <c r="P79" s="30"/>
      <c r="Q79" s="30"/>
    </row>
    <row r="80" spans="2:17" x14ac:dyDescent="0.3">
      <c r="B80" s="29"/>
      <c r="C80" s="29"/>
      <c r="D80" s="67"/>
      <c r="E80" s="29"/>
      <c r="F80" s="29"/>
      <c r="G80" s="67"/>
      <c r="H80" s="29"/>
      <c r="I80" s="29"/>
      <c r="J80" s="30"/>
      <c r="K80" s="30"/>
      <c r="L80" s="30"/>
      <c r="M80" s="30"/>
      <c r="N80" s="30"/>
      <c r="O80" s="30"/>
      <c r="P80" s="30"/>
      <c r="Q80" s="30"/>
    </row>
    <row r="81" spans="2:17" x14ac:dyDescent="0.3">
      <c r="B81" s="29"/>
      <c r="C81" s="29"/>
      <c r="D81" s="67"/>
      <c r="E81" s="29"/>
      <c r="F81" s="29"/>
      <c r="G81" s="67"/>
      <c r="H81" s="29"/>
      <c r="I81" s="29"/>
      <c r="J81" s="30"/>
      <c r="K81" s="30"/>
      <c r="L81" s="30"/>
      <c r="M81" s="30"/>
      <c r="N81" s="30"/>
      <c r="O81" s="30"/>
      <c r="P81" s="30"/>
      <c r="Q81" s="30"/>
    </row>
    <row r="82" spans="2:17" x14ac:dyDescent="0.3">
      <c r="B82" s="29"/>
      <c r="C82" s="29"/>
      <c r="D82" s="67"/>
      <c r="E82" s="29"/>
      <c r="F82" s="29"/>
      <c r="G82" s="67"/>
      <c r="H82" s="29"/>
      <c r="I82" s="29"/>
      <c r="J82" s="30"/>
      <c r="K82" s="30"/>
      <c r="L82" s="30"/>
      <c r="M82" s="30"/>
      <c r="N82" s="30"/>
      <c r="O82" s="30"/>
      <c r="P82" s="30"/>
      <c r="Q82" s="30"/>
    </row>
    <row r="83" spans="2:17" x14ac:dyDescent="0.3">
      <c r="B83" s="29"/>
      <c r="C83" s="29"/>
      <c r="D83" s="67"/>
      <c r="E83" s="29"/>
      <c r="F83" s="29"/>
      <c r="G83" s="67"/>
      <c r="H83" s="29"/>
      <c r="I83" s="29"/>
      <c r="J83" s="30"/>
      <c r="K83" s="30"/>
      <c r="L83" s="30"/>
      <c r="M83" s="30"/>
      <c r="N83" s="30"/>
      <c r="O83" s="30"/>
      <c r="P83" s="30"/>
      <c r="Q83" s="30"/>
    </row>
    <row r="84" spans="2:17" x14ac:dyDescent="0.3">
      <c r="B84" s="29"/>
      <c r="C84" s="29"/>
      <c r="D84" s="67"/>
      <c r="E84" s="29"/>
      <c r="F84" s="29"/>
      <c r="G84" s="67"/>
      <c r="H84" s="29"/>
      <c r="I84" s="29"/>
      <c r="J84" s="30"/>
      <c r="K84" s="30"/>
      <c r="L84" s="30"/>
      <c r="M84" s="30"/>
      <c r="N84" s="30"/>
      <c r="O84" s="30"/>
      <c r="P84" s="30"/>
      <c r="Q84" s="30"/>
    </row>
    <row r="85" spans="2:17" x14ac:dyDescent="0.3">
      <c r="B85" s="29"/>
      <c r="C85" s="29"/>
      <c r="D85" s="67"/>
      <c r="E85" s="29"/>
      <c r="F85" s="29"/>
      <c r="G85" s="67"/>
      <c r="H85" s="29"/>
      <c r="I85" s="29"/>
      <c r="J85" s="30"/>
      <c r="K85" s="30"/>
      <c r="L85" s="30"/>
      <c r="M85" s="30"/>
      <c r="N85" s="30"/>
      <c r="O85" s="30"/>
      <c r="P85" s="30"/>
      <c r="Q85" s="30"/>
    </row>
    <row r="86" spans="2:17" x14ac:dyDescent="0.3">
      <c r="B86" s="29"/>
      <c r="C86" s="29"/>
      <c r="D86" s="67"/>
      <c r="E86" s="29"/>
      <c r="F86" s="29"/>
      <c r="G86" s="67"/>
      <c r="H86" s="29"/>
      <c r="I86" s="29"/>
      <c r="J86" s="30"/>
      <c r="K86" s="30"/>
      <c r="L86" s="30"/>
      <c r="M86" s="30"/>
      <c r="N86" s="30"/>
      <c r="O86" s="30"/>
      <c r="P86" s="30"/>
      <c r="Q86" s="30"/>
    </row>
    <row r="87" spans="2:17" x14ac:dyDescent="0.3">
      <c r="B87" s="29"/>
      <c r="C87" s="29"/>
      <c r="D87" s="67"/>
      <c r="E87" s="29"/>
      <c r="F87" s="29"/>
      <c r="G87" s="67"/>
      <c r="H87" s="29"/>
      <c r="I87" s="29"/>
      <c r="J87" s="30"/>
      <c r="K87" s="30"/>
      <c r="L87" s="30"/>
      <c r="M87" s="30"/>
      <c r="N87" s="30"/>
      <c r="O87" s="30"/>
      <c r="P87" s="30"/>
      <c r="Q87" s="30"/>
    </row>
    <row r="88" spans="2:17" x14ac:dyDescent="0.3">
      <c r="B88" s="29"/>
      <c r="C88" s="29"/>
      <c r="D88" s="67"/>
      <c r="E88" s="29"/>
      <c r="F88" s="29"/>
      <c r="G88" s="67"/>
      <c r="H88" s="29"/>
      <c r="I88" s="29"/>
      <c r="J88" s="30"/>
      <c r="K88" s="30"/>
      <c r="L88" s="30"/>
      <c r="M88" s="30"/>
      <c r="N88" s="30"/>
      <c r="O88" s="30"/>
      <c r="P88" s="30"/>
      <c r="Q88" s="30"/>
    </row>
    <row r="89" spans="2:17" x14ac:dyDescent="0.3">
      <c r="B89" s="29"/>
      <c r="C89" s="29"/>
      <c r="D89" s="67"/>
      <c r="E89" s="29"/>
      <c r="F89" s="29"/>
      <c r="G89" s="67"/>
      <c r="H89" s="29"/>
      <c r="I89" s="29"/>
      <c r="J89" s="30"/>
      <c r="K89" s="30"/>
      <c r="L89" s="30"/>
      <c r="M89" s="30"/>
      <c r="N89" s="30"/>
      <c r="O89" s="30"/>
      <c r="P89" s="30"/>
      <c r="Q89" s="30"/>
    </row>
    <row r="90" spans="2:17" x14ac:dyDescent="0.3">
      <c r="B90" s="29"/>
      <c r="C90" s="29"/>
      <c r="D90" s="67"/>
      <c r="E90" s="29"/>
      <c r="F90" s="29"/>
      <c r="G90" s="67"/>
      <c r="H90" s="29"/>
      <c r="I90" s="29"/>
      <c r="J90" s="30"/>
      <c r="K90" s="30"/>
      <c r="L90" s="30"/>
      <c r="M90" s="30"/>
      <c r="N90" s="30"/>
      <c r="O90" s="30"/>
      <c r="P90" s="30"/>
      <c r="Q90" s="30"/>
    </row>
    <row r="91" spans="2:17" x14ac:dyDescent="0.3">
      <c r="B91" s="29"/>
      <c r="C91" s="29"/>
      <c r="D91" s="67"/>
      <c r="E91" s="29"/>
      <c r="F91" s="29"/>
      <c r="G91" s="67"/>
      <c r="H91" s="29"/>
      <c r="I91" s="29"/>
      <c r="J91" s="30"/>
      <c r="K91" s="30"/>
      <c r="L91" s="30"/>
      <c r="M91" s="30"/>
      <c r="N91" s="30"/>
      <c r="O91" s="30"/>
      <c r="P91" s="30"/>
      <c r="Q91" s="30"/>
    </row>
    <row r="92" spans="2:17" x14ac:dyDescent="0.3">
      <c r="B92" s="29"/>
      <c r="C92" s="29"/>
      <c r="D92" s="67"/>
      <c r="E92" s="29"/>
      <c r="F92" s="29"/>
      <c r="G92" s="67"/>
      <c r="H92" s="29"/>
      <c r="I92" s="29"/>
      <c r="J92" s="30"/>
      <c r="K92" s="30"/>
      <c r="L92" s="30"/>
      <c r="M92" s="30"/>
      <c r="N92" s="30"/>
      <c r="O92" s="30"/>
      <c r="P92" s="30"/>
      <c r="Q92" s="30"/>
    </row>
    <row r="93" spans="2:17" x14ac:dyDescent="0.3">
      <c r="B93" s="29"/>
      <c r="C93" s="29"/>
      <c r="D93" s="67"/>
      <c r="E93" s="29"/>
      <c r="F93" s="29"/>
      <c r="G93" s="67"/>
      <c r="H93" s="29"/>
      <c r="I93" s="29"/>
      <c r="J93" s="30"/>
      <c r="K93" s="30"/>
      <c r="L93" s="30"/>
      <c r="M93" s="30"/>
      <c r="N93" s="30"/>
      <c r="O93" s="30"/>
      <c r="P93" s="30"/>
      <c r="Q93" s="30"/>
    </row>
    <row r="94" spans="2:17" x14ac:dyDescent="0.3">
      <c r="B94" s="29"/>
      <c r="C94" s="29"/>
      <c r="D94" s="67"/>
      <c r="E94" s="29"/>
      <c r="F94" s="29"/>
      <c r="G94" s="67"/>
      <c r="H94" s="29"/>
      <c r="I94" s="29"/>
      <c r="J94" s="30"/>
      <c r="K94" s="30"/>
      <c r="L94" s="30"/>
      <c r="M94" s="30"/>
      <c r="N94" s="30"/>
      <c r="O94" s="30"/>
      <c r="P94" s="30"/>
      <c r="Q94" s="30"/>
    </row>
    <row r="95" spans="2:17" x14ac:dyDescent="0.3">
      <c r="B95" s="29"/>
      <c r="C95" s="29"/>
      <c r="D95" s="67"/>
      <c r="E95" s="29"/>
      <c r="F95" s="29"/>
      <c r="G95" s="67"/>
      <c r="H95" s="29"/>
      <c r="I95" s="29"/>
      <c r="J95" s="30"/>
      <c r="K95" s="30"/>
      <c r="L95" s="30"/>
      <c r="M95" s="30"/>
      <c r="N95" s="30"/>
      <c r="O95" s="30"/>
      <c r="P95" s="30"/>
      <c r="Q95" s="30"/>
    </row>
    <row r="96" spans="2:17" x14ac:dyDescent="0.3">
      <c r="B96" s="29"/>
      <c r="C96" s="29"/>
      <c r="D96" s="67"/>
      <c r="E96" s="29"/>
      <c r="F96" s="29"/>
      <c r="G96" s="67"/>
      <c r="H96" s="29"/>
      <c r="I96" s="29"/>
      <c r="J96" s="30"/>
      <c r="K96" s="30"/>
      <c r="L96" s="30"/>
      <c r="M96" s="30"/>
      <c r="N96" s="30"/>
      <c r="O96" s="30"/>
      <c r="P96" s="30"/>
      <c r="Q96" s="30"/>
    </row>
    <row r="97" spans="2:17" x14ac:dyDescent="0.3">
      <c r="B97" s="29"/>
      <c r="C97" s="29"/>
      <c r="D97" s="67"/>
      <c r="E97" s="29"/>
      <c r="F97" s="29"/>
      <c r="G97" s="67"/>
      <c r="H97" s="29"/>
      <c r="I97" s="29"/>
      <c r="J97" s="30"/>
      <c r="K97" s="30"/>
      <c r="L97" s="30"/>
      <c r="M97" s="30"/>
      <c r="N97" s="30"/>
      <c r="O97" s="30"/>
      <c r="P97" s="30"/>
      <c r="Q97" s="30"/>
    </row>
    <row r="98" spans="2:17" x14ac:dyDescent="0.3">
      <c r="B98" s="29"/>
      <c r="C98" s="29"/>
      <c r="D98" s="67"/>
      <c r="E98" s="29"/>
      <c r="F98" s="29"/>
      <c r="G98" s="67"/>
      <c r="H98" s="29"/>
      <c r="I98" s="29"/>
      <c r="J98" s="30"/>
      <c r="K98" s="30"/>
      <c r="L98" s="30"/>
      <c r="M98" s="30"/>
      <c r="N98" s="30"/>
      <c r="O98" s="30"/>
      <c r="P98" s="30"/>
      <c r="Q98" s="30"/>
    </row>
    <row r="99" spans="2:17" x14ac:dyDescent="0.3">
      <c r="B99" s="29"/>
      <c r="C99" s="29"/>
      <c r="D99" s="67"/>
      <c r="E99" s="29"/>
      <c r="F99" s="29"/>
      <c r="G99" s="67"/>
      <c r="H99" s="29"/>
      <c r="I99" s="29"/>
      <c r="J99" s="30"/>
      <c r="K99" s="30"/>
      <c r="L99" s="30"/>
      <c r="M99" s="30"/>
      <c r="N99" s="30"/>
      <c r="O99" s="30"/>
      <c r="P99" s="30"/>
      <c r="Q99" s="30"/>
    </row>
    <row r="100" spans="2:17" x14ac:dyDescent="0.3">
      <c r="B100" s="29"/>
      <c r="C100" s="29"/>
      <c r="D100" s="67"/>
      <c r="E100" s="29"/>
      <c r="F100" s="29"/>
      <c r="G100" s="67"/>
      <c r="H100" s="29"/>
      <c r="I100" s="29"/>
      <c r="J100" s="30"/>
      <c r="K100" s="30"/>
      <c r="L100" s="30"/>
      <c r="M100" s="30"/>
      <c r="N100" s="30"/>
      <c r="O100" s="30"/>
      <c r="P100" s="30"/>
      <c r="Q100" s="30"/>
    </row>
    <row r="101" spans="2:17" x14ac:dyDescent="0.3">
      <c r="B101" s="29"/>
      <c r="C101" s="29"/>
      <c r="D101" s="67"/>
      <c r="E101" s="29"/>
      <c r="F101" s="29"/>
      <c r="G101" s="67"/>
      <c r="H101" s="29"/>
      <c r="I101" s="29"/>
      <c r="J101" s="30"/>
      <c r="K101" s="30"/>
      <c r="L101" s="30"/>
      <c r="M101" s="30"/>
      <c r="N101" s="30"/>
      <c r="O101" s="30"/>
      <c r="P101" s="30"/>
      <c r="Q101" s="30"/>
    </row>
    <row r="102" spans="2:17" x14ac:dyDescent="0.3">
      <c r="B102" s="29"/>
      <c r="C102" s="29"/>
      <c r="D102" s="67"/>
      <c r="E102" s="29"/>
      <c r="F102" s="29"/>
      <c r="G102" s="67"/>
      <c r="H102" s="29"/>
      <c r="I102" s="29"/>
      <c r="J102" s="30"/>
      <c r="K102" s="30"/>
      <c r="L102" s="30"/>
      <c r="M102" s="30"/>
      <c r="N102" s="30"/>
      <c r="O102" s="30"/>
      <c r="P102" s="30"/>
      <c r="Q102" s="30"/>
    </row>
    <row r="103" spans="2:17" x14ac:dyDescent="0.3">
      <c r="B103" s="29"/>
      <c r="C103" s="29"/>
      <c r="D103" s="67"/>
      <c r="E103" s="29"/>
      <c r="F103" s="29"/>
      <c r="G103" s="67"/>
      <c r="H103" s="29"/>
      <c r="I103" s="29"/>
      <c r="J103" s="30"/>
      <c r="K103" s="30"/>
      <c r="L103" s="30"/>
      <c r="M103" s="30"/>
      <c r="N103" s="30"/>
      <c r="O103" s="30"/>
      <c r="P103" s="30"/>
      <c r="Q103" s="30"/>
    </row>
    <row r="104" spans="2:17" x14ac:dyDescent="0.3">
      <c r="B104" s="29"/>
      <c r="C104" s="29"/>
      <c r="D104" s="67"/>
      <c r="E104" s="29"/>
      <c r="F104" s="29"/>
      <c r="G104" s="67"/>
      <c r="H104" s="29"/>
      <c r="I104" s="29"/>
      <c r="J104" s="30"/>
      <c r="K104" s="30"/>
      <c r="L104" s="30"/>
      <c r="M104" s="30"/>
      <c r="N104" s="30"/>
      <c r="O104" s="30"/>
      <c r="P104" s="30"/>
      <c r="Q104" s="30"/>
    </row>
    <row r="105" spans="2:17" x14ac:dyDescent="0.3">
      <c r="B105" s="29"/>
      <c r="C105" s="29"/>
      <c r="D105" s="67"/>
      <c r="E105" s="29"/>
      <c r="F105" s="29"/>
      <c r="G105" s="67"/>
      <c r="H105" s="29"/>
      <c r="I105" s="29"/>
      <c r="J105" s="30"/>
      <c r="K105" s="30"/>
      <c r="L105" s="30"/>
      <c r="M105" s="30"/>
      <c r="N105" s="30"/>
      <c r="O105" s="30"/>
      <c r="P105" s="30"/>
      <c r="Q105" s="30"/>
    </row>
    <row r="106" spans="2:17" x14ac:dyDescent="0.3">
      <c r="B106" s="29"/>
      <c r="C106" s="29"/>
      <c r="D106" s="67"/>
      <c r="E106" s="29"/>
      <c r="F106" s="29"/>
      <c r="G106" s="67"/>
      <c r="H106" s="29"/>
      <c r="I106" s="29"/>
      <c r="J106" s="30"/>
      <c r="K106" s="30"/>
      <c r="L106" s="30"/>
      <c r="M106" s="30"/>
      <c r="N106" s="30"/>
      <c r="O106" s="30"/>
      <c r="P106" s="30"/>
      <c r="Q106" s="30"/>
    </row>
    <row r="107" spans="2:17" x14ac:dyDescent="0.3">
      <c r="B107" s="29"/>
      <c r="C107" s="29"/>
      <c r="D107" s="67"/>
      <c r="E107" s="29"/>
      <c r="F107" s="29"/>
      <c r="G107" s="67"/>
      <c r="H107" s="29"/>
      <c r="I107" s="29"/>
      <c r="J107" s="30"/>
      <c r="K107" s="30"/>
      <c r="L107" s="30"/>
      <c r="M107" s="30"/>
      <c r="N107" s="30"/>
      <c r="O107" s="30"/>
      <c r="P107" s="30"/>
      <c r="Q107" s="30"/>
    </row>
    <row r="108" spans="2:17" x14ac:dyDescent="0.3">
      <c r="B108" s="29"/>
      <c r="C108" s="29"/>
      <c r="D108" s="67"/>
      <c r="E108" s="29"/>
      <c r="F108" s="29"/>
      <c r="G108" s="67"/>
      <c r="H108" s="29"/>
      <c r="I108" s="29"/>
      <c r="J108" s="30"/>
      <c r="K108" s="30"/>
      <c r="L108" s="30"/>
      <c r="M108" s="30"/>
      <c r="N108" s="30"/>
      <c r="O108" s="30"/>
      <c r="P108" s="30"/>
      <c r="Q108" s="30"/>
    </row>
    <row r="109" spans="2:17" x14ac:dyDescent="0.3">
      <c r="B109" s="29"/>
      <c r="C109" s="29"/>
      <c r="D109" s="67"/>
      <c r="E109" s="29"/>
      <c r="F109" s="29"/>
      <c r="G109" s="67"/>
      <c r="H109" s="29"/>
      <c r="I109" s="29"/>
      <c r="J109" s="30"/>
      <c r="K109" s="30"/>
      <c r="L109" s="30"/>
      <c r="M109" s="30"/>
      <c r="N109" s="30"/>
      <c r="O109" s="30"/>
      <c r="P109" s="30"/>
      <c r="Q109" s="30"/>
    </row>
    <row r="110" spans="2:17" x14ac:dyDescent="0.3">
      <c r="B110" s="29"/>
      <c r="C110" s="29"/>
      <c r="D110" s="67"/>
      <c r="E110" s="29"/>
      <c r="F110" s="29"/>
      <c r="G110" s="67"/>
      <c r="H110" s="29"/>
      <c r="I110" s="29"/>
      <c r="J110" s="30"/>
      <c r="K110" s="30"/>
      <c r="L110" s="30"/>
      <c r="M110" s="30"/>
      <c r="N110" s="30"/>
      <c r="O110" s="30"/>
      <c r="P110" s="30"/>
      <c r="Q110" s="30"/>
    </row>
    <row r="111" spans="2:17" x14ac:dyDescent="0.3">
      <c r="B111" s="29"/>
      <c r="C111" s="29"/>
      <c r="D111" s="67"/>
      <c r="E111" s="29"/>
      <c r="F111" s="29"/>
      <c r="G111" s="67"/>
      <c r="H111" s="29"/>
      <c r="I111" s="29"/>
      <c r="J111" s="30"/>
      <c r="K111" s="30"/>
      <c r="L111" s="30"/>
      <c r="M111" s="30"/>
      <c r="N111" s="30"/>
      <c r="O111" s="30"/>
      <c r="P111" s="30"/>
      <c r="Q111" s="30"/>
    </row>
    <row r="112" spans="2:17" x14ac:dyDescent="0.3">
      <c r="B112" s="29"/>
      <c r="C112" s="29"/>
      <c r="D112" s="67"/>
      <c r="E112" s="29"/>
      <c r="F112" s="29"/>
      <c r="G112" s="67"/>
      <c r="H112" s="29"/>
      <c r="I112" s="29"/>
      <c r="J112" s="30"/>
      <c r="K112" s="30"/>
      <c r="L112" s="30"/>
      <c r="M112" s="30"/>
      <c r="N112" s="30"/>
      <c r="O112" s="30"/>
      <c r="P112" s="30"/>
      <c r="Q112" s="30"/>
    </row>
    <row r="113" spans="2:17" x14ac:dyDescent="0.3">
      <c r="B113" s="29"/>
      <c r="C113" s="29"/>
      <c r="D113" s="67"/>
      <c r="E113" s="29"/>
      <c r="F113" s="29"/>
      <c r="G113" s="67"/>
      <c r="H113" s="29"/>
      <c r="I113" s="29"/>
      <c r="J113" s="30"/>
      <c r="K113" s="30"/>
      <c r="L113" s="30"/>
      <c r="M113" s="30"/>
      <c r="N113" s="30"/>
      <c r="O113" s="30"/>
      <c r="P113" s="30"/>
      <c r="Q113" s="30"/>
    </row>
    <row r="114" spans="2:17" x14ac:dyDescent="0.3">
      <c r="B114" s="29"/>
      <c r="C114" s="29"/>
      <c r="D114" s="67"/>
      <c r="E114" s="29"/>
      <c r="F114" s="29"/>
      <c r="G114" s="67"/>
      <c r="H114" s="29"/>
      <c r="I114" s="29"/>
      <c r="J114" s="30"/>
      <c r="K114" s="30"/>
      <c r="L114" s="30"/>
      <c r="M114" s="30"/>
      <c r="N114" s="30"/>
      <c r="O114" s="30"/>
      <c r="P114" s="30"/>
      <c r="Q114" s="30"/>
    </row>
    <row r="115" spans="2:17" x14ac:dyDescent="0.3">
      <c r="B115" s="29"/>
      <c r="C115" s="29"/>
      <c r="D115" s="67"/>
      <c r="E115" s="29"/>
      <c r="F115" s="29"/>
      <c r="G115" s="67"/>
      <c r="H115" s="29"/>
      <c r="I115" s="29"/>
      <c r="J115" s="30"/>
      <c r="K115" s="30"/>
      <c r="L115" s="30"/>
      <c r="M115" s="30"/>
      <c r="N115" s="30"/>
      <c r="O115" s="30"/>
      <c r="P115" s="30"/>
      <c r="Q115" s="30"/>
    </row>
    <row r="116" spans="2:17" x14ac:dyDescent="0.3">
      <c r="B116" s="29"/>
      <c r="C116" s="29"/>
      <c r="D116" s="67"/>
      <c r="E116" s="29"/>
      <c r="F116" s="29"/>
      <c r="G116" s="67"/>
      <c r="H116" s="29"/>
      <c r="I116" s="29"/>
      <c r="J116" s="30"/>
      <c r="K116" s="30"/>
      <c r="L116" s="30"/>
      <c r="M116" s="30"/>
      <c r="N116" s="30"/>
      <c r="O116" s="30"/>
      <c r="P116" s="30"/>
      <c r="Q116" s="30"/>
    </row>
    <row r="117" spans="2:17" x14ac:dyDescent="0.3">
      <c r="B117" s="29"/>
      <c r="C117" s="29"/>
      <c r="D117" s="67"/>
      <c r="E117" s="29"/>
      <c r="F117" s="29"/>
      <c r="G117" s="67"/>
      <c r="H117" s="29"/>
      <c r="I117" s="29"/>
      <c r="J117" s="30"/>
      <c r="K117" s="30"/>
      <c r="L117" s="30"/>
      <c r="M117" s="30"/>
      <c r="N117" s="30"/>
      <c r="O117" s="30"/>
      <c r="P117" s="30"/>
      <c r="Q117" s="30"/>
    </row>
    <row r="118" spans="2:17" x14ac:dyDescent="0.3">
      <c r="B118" s="29"/>
      <c r="C118" s="29"/>
      <c r="D118" s="67"/>
      <c r="E118" s="29"/>
      <c r="F118" s="29"/>
      <c r="G118" s="67"/>
      <c r="H118" s="29"/>
      <c r="I118" s="29"/>
      <c r="J118" s="30"/>
      <c r="K118" s="30"/>
      <c r="L118" s="30"/>
      <c r="M118" s="30"/>
      <c r="N118" s="30"/>
      <c r="O118" s="30"/>
      <c r="P118" s="30"/>
      <c r="Q118" s="30"/>
    </row>
    <row r="119" spans="2:17" x14ac:dyDescent="0.3">
      <c r="B119" s="29"/>
      <c r="C119" s="29"/>
      <c r="D119" s="67"/>
      <c r="E119" s="29"/>
      <c r="F119" s="29"/>
      <c r="G119" s="67"/>
      <c r="H119" s="29"/>
      <c r="I119" s="29"/>
      <c r="J119" s="30"/>
      <c r="K119" s="30"/>
      <c r="L119" s="30"/>
      <c r="M119" s="30"/>
      <c r="N119" s="30"/>
      <c r="O119" s="30"/>
      <c r="P119" s="30"/>
      <c r="Q119" s="30"/>
    </row>
    <row r="120" spans="2:17" x14ac:dyDescent="0.3">
      <c r="B120" s="29"/>
      <c r="C120" s="29"/>
      <c r="D120" s="67"/>
      <c r="E120" s="29"/>
      <c r="F120" s="29"/>
      <c r="G120" s="67"/>
      <c r="H120" s="29"/>
      <c r="I120" s="29"/>
      <c r="J120" s="30"/>
      <c r="K120" s="30"/>
      <c r="L120" s="30"/>
      <c r="M120" s="30"/>
      <c r="N120" s="30"/>
      <c r="O120" s="30"/>
      <c r="P120" s="30"/>
      <c r="Q120" s="30"/>
    </row>
    <row r="121" spans="2:17" x14ac:dyDescent="0.3">
      <c r="B121" s="29"/>
      <c r="C121" s="29"/>
      <c r="D121" s="67"/>
      <c r="E121" s="29"/>
      <c r="F121" s="29"/>
      <c r="G121" s="67"/>
      <c r="H121" s="29"/>
      <c r="I121" s="29"/>
      <c r="J121" s="30"/>
      <c r="K121" s="30"/>
      <c r="L121" s="30"/>
      <c r="M121" s="30"/>
      <c r="N121" s="30"/>
      <c r="O121" s="30"/>
      <c r="P121" s="30"/>
      <c r="Q121" s="30"/>
    </row>
    <row r="122" spans="2:17" x14ac:dyDescent="0.3">
      <c r="B122" s="29"/>
      <c r="C122" s="29"/>
      <c r="D122" s="67"/>
      <c r="E122" s="29"/>
      <c r="F122" s="29"/>
      <c r="G122" s="67"/>
      <c r="H122" s="29"/>
      <c r="I122" s="29"/>
      <c r="J122" s="30"/>
      <c r="K122" s="30"/>
      <c r="L122" s="30"/>
      <c r="M122" s="30"/>
      <c r="N122" s="30"/>
      <c r="O122" s="30"/>
      <c r="P122" s="30"/>
      <c r="Q122" s="30"/>
    </row>
    <row r="123" spans="2:17" x14ac:dyDescent="0.3">
      <c r="B123" s="29"/>
      <c r="C123" s="29"/>
      <c r="D123" s="67"/>
      <c r="E123" s="29"/>
      <c r="F123" s="29"/>
      <c r="G123" s="67"/>
      <c r="H123" s="29"/>
      <c r="I123" s="29"/>
      <c r="J123" s="30"/>
      <c r="K123" s="30"/>
      <c r="L123" s="30"/>
      <c r="M123" s="30"/>
      <c r="N123" s="30"/>
      <c r="O123" s="30"/>
      <c r="P123" s="30"/>
      <c r="Q123" s="30"/>
    </row>
    <row r="124" spans="2:17" x14ac:dyDescent="0.3">
      <c r="B124" s="29"/>
      <c r="C124" s="29"/>
      <c r="D124" s="67"/>
      <c r="E124" s="29"/>
      <c r="F124" s="29"/>
      <c r="G124" s="67"/>
      <c r="H124" s="29"/>
      <c r="I124" s="29"/>
      <c r="J124" s="30"/>
      <c r="K124" s="30"/>
      <c r="L124" s="30"/>
      <c r="M124" s="30"/>
      <c r="N124" s="30"/>
      <c r="O124" s="30"/>
      <c r="P124" s="30"/>
      <c r="Q124" s="30"/>
    </row>
    <row r="125" spans="2:17" x14ac:dyDescent="0.3">
      <c r="B125" s="29"/>
      <c r="C125" s="29"/>
      <c r="D125" s="67"/>
      <c r="E125" s="29"/>
      <c r="F125" s="29"/>
      <c r="G125" s="67"/>
      <c r="H125" s="29"/>
      <c r="I125" s="29"/>
      <c r="J125" s="30"/>
      <c r="K125" s="30"/>
      <c r="L125" s="30"/>
      <c r="M125" s="30"/>
      <c r="N125" s="30"/>
      <c r="O125" s="30"/>
      <c r="P125" s="30"/>
      <c r="Q125" s="30"/>
    </row>
    <row r="126" spans="2:17" x14ac:dyDescent="0.3">
      <c r="B126" s="29"/>
      <c r="C126" s="29"/>
      <c r="D126" s="67"/>
      <c r="E126" s="29"/>
      <c r="F126" s="29"/>
      <c r="G126" s="67"/>
      <c r="H126" s="29"/>
      <c r="I126" s="29"/>
      <c r="J126" s="30"/>
      <c r="K126" s="30"/>
      <c r="L126" s="30"/>
      <c r="M126" s="30"/>
      <c r="N126" s="30"/>
      <c r="O126" s="30"/>
      <c r="P126" s="30"/>
      <c r="Q126" s="30"/>
    </row>
    <row r="127" spans="2:17" x14ac:dyDescent="0.3">
      <c r="B127" s="29"/>
      <c r="C127" s="29"/>
      <c r="D127" s="67"/>
      <c r="E127" s="29"/>
      <c r="F127" s="29"/>
      <c r="G127" s="67"/>
      <c r="H127" s="29"/>
      <c r="I127" s="29"/>
      <c r="J127" s="30"/>
      <c r="K127" s="30"/>
      <c r="L127" s="30"/>
      <c r="M127" s="30"/>
      <c r="N127" s="30"/>
      <c r="O127" s="30"/>
      <c r="P127" s="30"/>
      <c r="Q127" s="30"/>
    </row>
    <row r="128" spans="2:17" x14ac:dyDescent="0.3">
      <c r="B128" s="29"/>
      <c r="C128" s="29"/>
      <c r="D128" s="67"/>
      <c r="E128" s="29"/>
      <c r="F128" s="29"/>
      <c r="G128" s="67"/>
      <c r="H128" s="29"/>
      <c r="I128" s="29"/>
      <c r="J128" s="30"/>
      <c r="K128" s="30"/>
      <c r="L128" s="30"/>
      <c r="M128" s="30"/>
      <c r="N128" s="30"/>
      <c r="O128" s="30"/>
      <c r="P128" s="30"/>
      <c r="Q128" s="30"/>
    </row>
    <row r="129" spans="2:17" x14ac:dyDescent="0.3">
      <c r="B129" s="29"/>
      <c r="C129" s="29"/>
      <c r="D129" s="67"/>
      <c r="E129" s="29"/>
      <c r="F129" s="29"/>
      <c r="G129" s="67"/>
      <c r="H129" s="29"/>
      <c r="I129" s="29"/>
      <c r="J129" s="30"/>
      <c r="K129" s="30"/>
      <c r="L129" s="30"/>
      <c r="M129" s="30"/>
      <c r="N129" s="30"/>
      <c r="O129" s="30"/>
      <c r="P129" s="30"/>
      <c r="Q129" s="30"/>
    </row>
    <row r="130" spans="2:17" x14ac:dyDescent="0.3">
      <c r="B130" s="29"/>
      <c r="C130" s="29"/>
      <c r="D130" s="67"/>
      <c r="E130" s="29"/>
      <c r="F130" s="29"/>
      <c r="G130" s="67"/>
      <c r="H130" s="29"/>
      <c r="I130" s="29"/>
      <c r="J130" s="30"/>
      <c r="K130" s="30"/>
      <c r="L130" s="30"/>
      <c r="M130" s="30"/>
      <c r="N130" s="30"/>
      <c r="O130" s="30"/>
      <c r="P130" s="30"/>
      <c r="Q130" s="30"/>
    </row>
    <row r="131" spans="2:17" x14ac:dyDescent="0.3">
      <c r="B131" s="29"/>
      <c r="C131" s="29"/>
      <c r="D131" s="67"/>
      <c r="E131" s="29"/>
      <c r="F131" s="29"/>
      <c r="G131" s="67"/>
      <c r="H131" s="29"/>
      <c r="I131" s="29"/>
      <c r="J131" s="30"/>
      <c r="K131" s="30"/>
      <c r="L131" s="30"/>
      <c r="M131" s="30"/>
      <c r="N131" s="30"/>
      <c r="O131" s="30"/>
      <c r="P131" s="30"/>
      <c r="Q131" s="30"/>
    </row>
    <row r="132" spans="2:17" x14ac:dyDescent="0.3">
      <c r="B132" s="29"/>
      <c r="C132" s="29"/>
      <c r="D132" s="67"/>
      <c r="E132" s="29"/>
      <c r="F132" s="29"/>
      <c r="G132" s="67"/>
      <c r="H132" s="29"/>
      <c r="I132" s="29"/>
      <c r="J132" s="30"/>
      <c r="K132" s="30"/>
      <c r="L132" s="30"/>
      <c r="M132" s="30"/>
      <c r="N132" s="30"/>
      <c r="O132" s="30"/>
      <c r="P132" s="30"/>
      <c r="Q132" s="30"/>
    </row>
    <row r="133" spans="2:17" x14ac:dyDescent="0.3">
      <c r="B133" s="29"/>
      <c r="C133" s="29"/>
      <c r="D133" s="67"/>
      <c r="E133" s="29"/>
      <c r="F133" s="29"/>
      <c r="G133" s="67"/>
      <c r="H133" s="29"/>
      <c r="I133" s="29"/>
      <c r="J133" s="30"/>
      <c r="K133" s="30"/>
      <c r="L133" s="30"/>
      <c r="M133" s="30"/>
      <c r="N133" s="30"/>
      <c r="O133" s="30"/>
      <c r="P133" s="30"/>
      <c r="Q133" s="30"/>
    </row>
    <row r="134" spans="2:17" x14ac:dyDescent="0.3">
      <c r="B134" s="29"/>
      <c r="C134" s="29"/>
      <c r="D134" s="67"/>
      <c r="E134" s="29"/>
      <c r="F134" s="29"/>
      <c r="G134" s="67"/>
      <c r="H134" s="29"/>
      <c r="I134" s="29"/>
      <c r="J134" s="30"/>
      <c r="K134" s="30"/>
      <c r="L134" s="30"/>
      <c r="M134" s="30"/>
      <c r="N134" s="30"/>
      <c r="O134" s="30"/>
      <c r="P134" s="30"/>
      <c r="Q134" s="30"/>
    </row>
    <row r="135" spans="2:17" x14ac:dyDescent="0.3">
      <c r="B135" s="29"/>
      <c r="C135" s="29"/>
      <c r="D135" s="67"/>
      <c r="E135" s="29"/>
      <c r="F135" s="29"/>
      <c r="G135" s="67"/>
      <c r="H135" s="29"/>
      <c r="I135" s="29"/>
      <c r="J135" s="30"/>
      <c r="K135" s="30"/>
      <c r="L135" s="30"/>
      <c r="M135" s="30"/>
      <c r="N135" s="30"/>
      <c r="O135" s="30"/>
      <c r="P135" s="30"/>
      <c r="Q135" s="30"/>
    </row>
    <row r="136" spans="2:17" x14ac:dyDescent="0.3">
      <c r="B136" s="29"/>
      <c r="C136" s="29"/>
      <c r="D136" s="67"/>
      <c r="E136" s="29"/>
      <c r="F136" s="29"/>
      <c r="G136" s="67"/>
      <c r="H136" s="29"/>
      <c r="I136" s="29"/>
      <c r="J136" s="30"/>
      <c r="K136" s="30"/>
      <c r="L136" s="30"/>
      <c r="M136" s="30"/>
      <c r="N136" s="30"/>
      <c r="O136" s="30"/>
      <c r="P136" s="30"/>
      <c r="Q136" s="30"/>
    </row>
    <row r="137" spans="2:17" x14ac:dyDescent="0.3">
      <c r="B137" s="29"/>
      <c r="C137" s="29"/>
      <c r="D137" s="67"/>
      <c r="E137" s="29"/>
      <c r="F137" s="29"/>
      <c r="G137" s="67"/>
      <c r="H137" s="29"/>
      <c r="I137" s="29"/>
      <c r="J137" s="30"/>
      <c r="K137" s="30"/>
      <c r="L137" s="30"/>
      <c r="M137" s="30"/>
      <c r="N137" s="30"/>
      <c r="O137" s="30"/>
      <c r="P137" s="30"/>
      <c r="Q137" s="30"/>
    </row>
    <row r="138" spans="2:17" x14ac:dyDescent="0.3">
      <c r="B138" s="29"/>
      <c r="C138" s="29"/>
      <c r="D138" s="67"/>
      <c r="E138" s="29"/>
      <c r="F138" s="29"/>
      <c r="G138" s="67"/>
      <c r="H138" s="29"/>
      <c r="I138" s="29"/>
      <c r="J138" s="30"/>
      <c r="K138" s="30"/>
      <c r="L138" s="30"/>
      <c r="M138" s="30"/>
      <c r="N138" s="30"/>
      <c r="O138" s="30"/>
      <c r="P138" s="30"/>
      <c r="Q138" s="30"/>
    </row>
    <row r="139" spans="2:17" x14ac:dyDescent="0.3">
      <c r="B139" s="29"/>
      <c r="C139" s="29"/>
      <c r="D139" s="67"/>
      <c r="E139" s="29"/>
      <c r="F139" s="29"/>
      <c r="G139" s="67"/>
      <c r="H139" s="29"/>
      <c r="I139" s="29"/>
      <c r="J139" s="30"/>
      <c r="K139" s="30"/>
      <c r="L139" s="30"/>
      <c r="M139" s="30"/>
      <c r="N139" s="30"/>
      <c r="O139" s="30"/>
      <c r="P139" s="30"/>
      <c r="Q139" s="30"/>
    </row>
    <row r="140" spans="2:17" x14ac:dyDescent="0.3">
      <c r="B140" s="29"/>
      <c r="C140" s="29"/>
      <c r="D140" s="67"/>
      <c r="E140" s="29"/>
      <c r="F140" s="29"/>
      <c r="G140" s="67"/>
      <c r="H140" s="29"/>
      <c r="I140" s="29"/>
      <c r="J140" s="30"/>
      <c r="K140" s="30"/>
      <c r="L140" s="30"/>
      <c r="M140" s="30"/>
      <c r="N140" s="30"/>
      <c r="O140" s="30"/>
      <c r="P140" s="30"/>
      <c r="Q140" s="30"/>
    </row>
    <row r="141" spans="2:17" x14ac:dyDescent="0.3">
      <c r="B141" s="29"/>
      <c r="C141" s="29"/>
      <c r="D141" s="67"/>
      <c r="E141" s="29"/>
      <c r="F141" s="29"/>
      <c r="G141" s="67"/>
      <c r="H141" s="29"/>
      <c r="I141" s="29"/>
      <c r="J141" s="30"/>
      <c r="K141" s="30"/>
      <c r="L141" s="30"/>
      <c r="M141" s="30"/>
      <c r="N141" s="30"/>
      <c r="O141" s="30"/>
      <c r="P141" s="30"/>
      <c r="Q141" s="30"/>
    </row>
    <row r="142" spans="2:17" x14ac:dyDescent="0.3">
      <c r="B142" s="29"/>
      <c r="C142" s="29"/>
      <c r="D142" s="67"/>
      <c r="E142" s="29"/>
      <c r="F142" s="29"/>
      <c r="G142" s="67"/>
      <c r="H142" s="29"/>
      <c r="I142" s="29"/>
      <c r="J142" s="30"/>
      <c r="K142" s="30"/>
      <c r="L142" s="30"/>
      <c r="M142" s="30"/>
      <c r="N142" s="30"/>
      <c r="O142" s="30"/>
      <c r="P142" s="30"/>
      <c r="Q142" s="30"/>
    </row>
    <row r="143" spans="2:17" x14ac:dyDescent="0.3">
      <c r="B143" s="29"/>
      <c r="C143" s="29"/>
      <c r="D143" s="67"/>
      <c r="E143" s="29"/>
      <c r="F143" s="29"/>
      <c r="G143" s="67"/>
      <c r="H143" s="29"/>
      <c r="I143" s="29"/>
      <c r="J143" s="30"/>
      <c r="K143" s="30"/>
      <c r="L143" s="30"/>
      <c r="M143" s="30"/>
      <c r="N143" s="30"/>
      <c r="O143" s="30"/>
      <c r="P143" s="30"/>
      <c r="Q143" s="30"/>
    </row>
    <row r="144" spans="2:17" x14ac:dyDescent="0.3">
      <c r="B144" s="29"/>
      <c r="C144" s="29"/>
      <c r="D144" s="67"/>
      <c r="E144" s="29"/>
      <c r="F144" s="29"/>
      <c r="G144" s="67"/>
      <c r="H144" s="29"/>
      <c r="I144" s="29"/>
      <c r="J144" s="30"/>
      <c r="K144" s="30"/>
      <c r="L144" s="30"/>
      <c r="M144" s="30"/>
      <c r="N144" s="30"/>
      <c r="O144" s="30"/>
      <c r="P144" s="30"/>
      <c r="Q144" s="30"/>
    </row>
    <row r="145" spans="2:17" x14ac:dyDescent="0.3">
      <c r="B145" s="29"/>
      <c r="C145" s="29"/>
      <c r="D145" s="67"/>
      <c r="E145" s="29"/>
      <c r="F145" s="29"/>
      <c r="G145" s="67"/>
      <c r="H145" s="29"/>
      <c r="I145" s="29"/>
      <c r="J145" s="30"/>
      <c r="K145" s="30"/>
      <c r="L145" s="30"/>
      <c r="M145" s="30"/>
      <c r="N145" s="30"/>
      <c r="O145" s="30"/>
      <c r="P145" s="30"/>
      <c r="Q145" s="30"/>
    </row>
    <row r="146" spans="2:17" x14ac:dyDescent="0.3">
      <c r="B146" s="29"/>
      <c r="C146" s="29"/>
      <c r="D146" s="67"/>
      <c r="E146" s="29"/>
      <c r="F146" s="29"/>
      <c r="G146" s="67"/>
      <c r="H146" s="29"/>
      <c r="I146" s="29"/>
      <c r="J146" s="30"/>
      <c r="K146" s="30"/>
      <c r="L146" s="30"/>
      <c r="M146" s="30"/>
      <c r="N146" s="30"/>
      <c r="O146" s="30"/>
      <c r="P146" s="30"/>
      <c r="Q146" s="30"/>
    </row>
    <row r="147" spans="2:17" x14ac:dyDescent="0.3">
      <c r="B147" s="29"/>
      <c r="C147" s="29"/>
      <c r="D147" s="67"/>
      <c r="E147" s="29"/>
      <c r="F147" s="29"/>
      <c r="G147" s="67"/>
      <c r="H147" s="29"/>
      <c r="I147" s="29"/>
      <c r="J147" s="30"/>
      <c r="K147" s="30"/>
      <c r="L147" s="30"/>
      <c r="M147" s="30"/>
      <c r="N147" s="30"/>
      <c r="O147" s="30"/>
      <c r="P147" s="30"/>
      <c r="Q147" s="30"/>
    </row>
    <row r="148" spans="2:17" x14ac:dyDescent="0.3">
      <c r="B148" s="29"/>
      <c r="C148" s="29"/>
      <c r="D148" s="67"/>
      <c r="E148" s="29"/>
      <c r="F148" s="29"/>
      <c r="G148" s="67"/>
      <c r="H148" s="29"/>
      <c r="I148" s="29"/>
      <c r="J148" s="30"/>
      <c r="K148" s="30"/>
      <c r="L148" s="30"/>
      <c r="M148" s="30"/>
      <c r="N148" s="30"/>
      <c r="O148" s="30"/>
      <c r="P148" s="30"/>
      <c r="Q148" s="30"/>
    </row>
    <row r="149" spans="2:17" x14ac:dyDescent="0.3">
      <c r="B149" s="29"/>
      <c r="C149" s="29"/>
      <c r="D149" s="67"/>
      <c r="E149" s="29"/>
      <c r="F149" s="29"/>
      <c r="G149" s="67"/>
      <c r="H149" s="29"/>
      <c r="I149" s="29"/>
      <c r="J149" s="30"/>
      <c r="K149" s="30"/>
      <c r="L149" s="30"/>
      <c r="M149" s="30"/>
      <c r="N149" s="30"/>
      <c r="O149" s="30"/>
      <c r="P149" s="30"/>
      <c r="Q149" s="30"/>
    </row>
    <row r="150" spans="2:17" x14ac:dyDescent="0.3">
      <c r="B150" s="29"/>
      <c r="C150" s="29"/>
      <c r="D150" s="67"/>
      <c r="E150" s="29"/>
      <c r="F150" s="29"/>
      <c r="G150" s="67"/>
      <c r="H150" s="29"/>
      <c r="I150" s="29"/>
      <c r="J150" s="30"/>
      <c r="K150" s="30"/>
      <c r="L150" s="30"/>
      <c r="M150" s="30"/>
      <c r="N150" s="30"/>
      <c r="O150" s="30"/>
      <c r="P150" s="30"/>
      <c r="Q150" s="30"/>
    </row>
    <row r="151" spans="2:17" x14ac:dyDescent="0.3">
      <c r="B151" s="29"/>
      <c r="C151" s="29"/>
      <c r="D151" s="67"/>
      <c r="E151" s="29"/>
      <c r="F151" s="29"/>
      <c r="G151" s="67"/>
      <c r="H151" s="29"/>
      <c r="I151" s="29"/>
      <c r="J151" s="30"/>
      <c r="K151" s="30"/>
      <c r="L151" s="30"/>
      <c r="M151" s="30"/>
      <c r="N151" s="30"/>
      <c r="O151" s="30"/>
      <c r="P151" s="30"/>
      <c r="Q151" s="30"/>
    </row>
    <row r="152" spans="2:17" x14ac:dyDescent="0.3">
      <c r="B152" s="29"/>
      <c r="C152" s="29"/>
      <c r="D152" s="67"/>
      <c r="E152" s="29"/>
      <c r="F152" s="29"/>
      <c r="G152" s="67"/>
      <c r="H152" s="29"/>
      <c r="I152" s="29"/>
      <c r="J152" s="30"/>
      <c r="K152" s="30"/>
      <c r="L152" s="30"/>
      <c r="M152" s="30"/>
      <c r="N152" s="30"/>
      <c r="O152" s="30"/>
      <c r="P152" s="30"/>
      <c r="Q152" s="30"/>
    </row>
    <row r="153" spans="2:17" x14ac:dyDescent="0.3">
      <c r="B153" s="29"/>
      <c r="C153" s="29"/>
      <c r="D153" s="67"/>
      <c r="E153" s="29"/>
      <c r="F153" s="29"/>
      <c r="G153" s="67"/>
      <c r="H153" s="29"/>
      <c r="I153" s="29"/>
      <c r="J153" s="30"/>
      <c r="K153" s="30"/>
      <c r="L153" s="30"/>
      <c r="M153" s="30"/>
      <c r="N153" s="30"/>
      <c r="O153" s="30"/>
      <c r="P153" s="30"/>
      <c r="Q153" s="30"/>
    </row>
    <row r="154" spans="2:17" x14ac:dyDescent="0.3">
      <c r="B154" s="29"/>
      <c r="C154" s="29"/>
      <c r="D154" s="67"/>
      <c r="E154" s="29"/>
      <c r="F154" s="29"/>
      <c r="G154" s="67"/>
      <c r="H154" s="29"/>
      <c r="I154" s="29"/>
      <c r="J154" s="30"/>
      <c r="K154" s="30"/>
      <c r="L154" s="30"/>
      <c r="M154" s="30"/>
      <c r="N154" s="30"/>
      <c r="O154" s="30"/>
      <c r="P154" s="30"/>
      <c r="Q154" s="30"/>
    </row>
    <row r="155" spans="2:17" x14ac:dyDescent="0.3">
      <c r="B155" s="29"/>
      <c r="C155" s="29"/>
      <c r="D155" s="67"/>
      <c r="E155" s="29"/>
      <c r="F155" s="29"/>
      <c r="G155" s="67"/>
      <c r="H155" s="29"/>
      <c r="I155" s="29"/>
      <c r="J155" s="30"/>
      <c r="K155" s="30"/>
      <c r="L155" s="30"/>
      <c r="M155" s="30"/>
      <c r="N155" s="30"/>
      <c r="O155" s="30"/>
      <c r="P155" s="30"/>
      <c r="Q155" s="30"/>
    </row>
    <row r="156" spans="2:17" x14ac:dyDescent="0.3">
      <c r="B156" s="29"/>
      <c r="C156" s="29"/>
      <c r="D156" s="67"/>
      <c r="E156" s="29"/>
      <c r="F156" s="29"/>
      <c r="G156" s="67"/>
      <c r="H156" s="29"/>
      <c r="I156" s="29"/>
      <c r="J156" s="30"/>
      <c r="K156" s="30"/>
      <c r="L156" s="30"/>
      <c r="M156" s="30"/>
      <c r="N156" s="30"/>
      <c r="O156" s="30"/>
      <c r="P156" s="30"/>
      <c r="Q156" s="30"/>
    </row>
    <row r="157" spans="2:17" x14ac:dyDescent="0.3">
      <c r="B157" s="29"/>
      <c r="C157" s="29"/>
      <c r="D157" s="67"/>
      <c r="E157" s="29"/>
      <c r="F157" s="29"/>
      <c r="G157" s="67"/>
      <c r="H157" s="29"/>
      <c r="I157" s="29"/>
      <c r="J157" s="30"/>
      <c r="K157" s="30"/>
      <c r="L157" s="30"/>
      <c r="M157" s="30"/>
      <c r="N157" s="30"/>
      <c r="O157" s="30"/>
      <c r="P157" s="30"/>
      <c r="Q157" s="30"/>
    </row>
    <row r="158" spans="2:17" x14ac:dyDescent="0.3">
      <c r="B158" s="29"/>
      <c r="C158" s="29"/>
      <c r="D158" s="67"/>
      <c r="E158" s="29"/>
      <c r="F158" s="29"/>
      <c r="G158" s="67"/>
      <c r="H158" s="29"/>
      <c r="I158" s="29"/>
      <c r="J158" s="30"/>
      <c r="K158" s="30"/>
      <c r="L158" s="30"/>
      <c r="M158" s="30"/>
      <c r="N158" s="30"/>
      <c r="O158" s="30"/>
      <c r="P158" s="30"/>
      <c r="Q158" s="30"/>
    </row>
    <row r="159" spans="2:17" x14ac:dyDescent="0.3">
      <c r="B159" s="29"/>
      <c r="C159" s="29"/>
      <c r="D159" s="67"/>
      <c r="E159" s="29"/>
      <c r="F159" s="29"/>
      <c r="G159" s="67"/>
      <c r="H159" s="29"/>
      <c r="I159" s="29"/>
      <c r="J159" s="30"/>
      <c r="K159" s="30"/>
      <c r="L159" s="30"/>
      <c r="M159" s="30"/>
      <c r="N159" s="30"/>
      <c r="O159" s="30"/>
      <c r="P159" s="30"/>
      <c r="Q159" s="30"/>
    </row>
    <row r="160" spans="2:17" x14ac:dyDescent="0.3">
      <c r="B160" s="29"/>
      <c r="C160" s="29"/>
      <c r="D160" s="67"/>
      <c r="E160" s="29"/>
      <c r="F160" s="29"/>
      <c r="G160" s="67"/>
      <c r="H160" s="29"/>
      <c r="I160" s="29"/>
      <c r="J160" s="30"/>
      <c r="K160" s="30"/>
      <c r="L160" s="30"/>
      <c r="M160" s="30"/>
      <c r="N160" s="30"/>
      <c r="O160" s="30"/>
      <c r="P160" s="30"/>
      <c r="Q160" s="30"/>
    </row>
    <row r="161" spans="2:17" x14ac:dyDescent="0.3">
      <c r="B161" s="29"/>
      <c r="C161" s="29"/>
      <c r="D161" s="67"/>
      <c r="E161" s="29"/>
      <c r="F161" s="29"/>
      <c r="G161" s="67"/>
      <c r="H161" s="29"/>
      <c r="I161" s="29"/>
      <c r="J161" s="30"/>
      <c r="K161" s="30"/>
      <c r="L161" s="30"/>
      <c r="M161" s="30"/>
      <c r="N161" s="30"/>
      <c r="O161" s="30"/>
      <c r="P161" s="30"/>
      <c r="Q161" s="30"/>
    </row>
    <row r="162" spans="2:17" x14ac:dyDescent="0.3">
      <c r="B162" s="29"/>
      <c r="C162" s="29"/>
      <c r="D162" s="67"/>
      <c r="E162" s="29"/>
      <c r="F162" s="29"/>
      <c r="G162" s="67"/>
      <c r="H162" s="29"/>
      <c r="I162" s="29"/>
      <c r="J162" s="30"/>
      <c r="K162" s="30"/>
      <c r="L162" s="30"/>
      <c r="M162" s="30"/>
      <c r="N162" s="30"/>
      <c r="O162" s="30"/>
      <c r="P162" s="30"/>
      <c r="Q162" s="30"/>
    </row>
    <row r="163" spans="2:17" x14ac:dyDescent="0.3">
      <c r="B163" s="29"/>
      <c r="C163" s="29"/>
      <c r="D163" s="67"/>
      <c r="E163" s="29"/>
      <c r="F163" s="29"/>
      <c r="G163" s="67"/>
      <c r="H163" s="29"/>
      <c r="I163" s="29"/>
      <c r="J163" s="30"/>
      <c r="K163" s="30"/>
      <c r="L163" s="30"/>
      <c r="M163" s="30"/>
      <c r="N163" s="30"/>
      <c r="O163" s="30"/>
      <c r="P163" s="30"/>
      <c r="Q163" s="30"/>
    </row>
    <row r="164" spans="2:17" x14ac:dyDescent="0.3">
      <c r="B164" s="29"/>
      <c r="C164" s="29"/>
      <c r="D164" s="67"/>
      <c r="E164" s="29"/>
      <c r="F164" s="29"/>
      <c r="G164" s="67"/>
      <c r="H164" s="29"/>
      <c r="I164" s="29"/>
      <c r="J164" s="30"/>
      <c r="K164" s="30"/>
      <c r="L164" s="30"/>
      <c r="M164" s="30"/>
      <c r="N164" s="30"/>
      <c r="O164" s="30"/>
      <c r="P164" s="30"/>
      <c r="Q164" s="30"/>
    </row>
    <row r="165" spans="2:17" x14ac:dyDescent="0.3">
      <c r="B165" s="29"/>
      <c r="C165" s="29"/>
      <c r="D165" s="67"/>
      <c r="E165" s="29"/>
      <c r="F165" s="29"/>
      <c r="G165" s="67"/>
      <c r="H165" s="29"/>
      <c r="I165" s="29"/>
      <c r="J165" s="30"/>
      <c r="K165" s="30"/>
      <c r="L165" s="30"/>
      <c r="M165" s="30"/>
      <c r="N165" s="30"/>
      <c r="O165" s="30"/>
      <c r="P165" s="30"/>
      <c r="Q165" s="30"/>
    </row>
    <row r="166" spans="2:17" x14ac:dyDescent="0.3">
      <c r="B166" s="29"/>
      <c r="C166" s="29"/>
      <c r="D166" s="67"/>
      <c r="E166" s="29"/>
      <c r="F166" s="29"/>
      <c r="G166" s="67"/>
      <c r="H166" s="29"/>
      <c r="I166" s="29"/>
      <c r="J166" s="30"/>
      <c r="K166" s="30"/>
      <c r="L166" s="30"/>
      <c r="M166" s="30"/>
      <c r="N166" s="30"/>
      <c r="O166" s="30"/>
      <c r="P166" s="30"/>
      <c r="Q166" s="30"/>
    </row>
    <row r="167" spans="2:17" x14ac:dyDescent="0.3">
      <c r="B167" s="29"/>
      <c r="C167" s="29"/>
      <c r="D167" s="67"/>
      <c r="E167" s="29"/>
      <c r="F167" s="29"/>
      <c r="G167" s="67"/>
      <c r="H167" s="29"/>
      <c r="I167" s="29"/>
      <c r="J167" s="30"/>
      <c r="K167" s="30"/>
      <c r="L167" s="30"/>
      <c r="M167" s="30"/>
      <c r="N167" s="30"/>
      <c r="O167" s="30"/>
      <c r="P167" s="30"/>
      <c r="Q167" s="30"/>
    </row>
    <row r="168" spans="2:17" x14ac:dyDescent="0.3">
      <c r="B168" s="29"/>
      <c r="C168" s="29"/>
      <c r="D168" s="67"/>
      <c r="E168" s="29"/>
      <c r="F168" s="29"/>
      <c r="G168" s="67"/>
      <c r="H168" s="29"/>
      <c r="I168" s="29"/>
      <c r="J168" s="30"/>
      <c r="K168" s="30"/>
      <c r="L168" s="30"/>
      <c r="M168" s="30"/>
      <c r="N168" s="30"/>
      <c r="O168" s="30"/>
      <c r="P168" s="30"/>
      <c r="Q168" s="30"/>
    </row>
    <row r="169" spans="2:17" x14ac:dyDescent="0.3">
      <c r="B169" s="29"/>
      <c r="C169" s="29"/>
      <c r="D169" s="67"/>
      <c r="E169" s="29"/>
      <c r="F169" s="29"/>
      <c r="G169" s="67"/>
      <c r="H169" s="29"/>
      <c r="I169" s="29"/>
      <c r="J169" s="30"/>
      <c r="K169" s="30"/>
      <c r="L169" s="30"/>
      <c r="M169" s="30"/>
      <c r="N169" s="30"/>
      <c r="O169" s="30"/>
      <c r="P169" s="30"/>
      <c r="Q169" s="30"/>
    </row>
    <row r="170" spans="2:17" x14ac:dyDescent="0.3">
      <c r="B170" s="29"/>
      <c r="C170" s="29"/>
      <c r="D170" s="67"/>
      <c r="E170" s="29"/>
      <c r="F170" s="29"/>
      <c r="G170" s="67"/>
      <c r="H170" s="29"/>
      <c r="I170" s="29"/>
      <c r="J170" s="30"/>
      <c r="K170" s="30"/>
      <c r="L170" s="30"/>
      <c r="M170" s="30"/>
      <c r="N170" s="30"/>
      <c r="O170" s="30"/>
      <c r="P170" s="30"/>
      <c r="Q170" s="30"/>
    </row>
    <row r="171" spans="2:17" x14ac:dyDescent="0.3">
      <c r="B171" s="29"/>
      <c r="C171" s="29"/>
      <c r="D171" s="67"/>
      <c r="E171" s="29"/>
      <c r="F171" s="29"/>
      <c r="G171" s="67"/>
      <c r="H171" s="29"/>
      <c r="I171" s="29"/>
      <c r="J171" s="30"/>
      <c r="K171" s="30"/>
      <c r="L171" s="30"/>
      <c r="M171" s="30"/>
      <c r="N171" s="30"/>
      <c r="O171" s="30"/>
      <c r="P171" s="30"/>
      <c r="Q171" s="30"/>
    </row>
    <row r="172" spans="2:17" x14ac:dyDescent="0.3">
      <c r="B172" s="29"/>
      <c r="C172" s="29"/>
      <c r="D172" s="67"/>
      <c r="E172" s="29"/>
      <c r="F172" s="29"/>
      <c r="G172" s="67"/>
      <c r="H172" s="29"/>
      <c r="I172" s="29"/>
      <c r="J172" s="30"/>
      <c r="K172" s="30"/>
      <c r="L172" s="30"/>
      <c r="M172" s="30"/>
      <c r="N172" s="30"/>
      <c r="O172" s="30"/>
      <c r="P172" s="30"/>
      <c r="Q172" s="30"/>
    </row>
    <row r="173" spans="2:17" x14ac:dyDescent="0.3">
      <c r="B173" s="29"/>
      <c r="C173" s="29"/>
      <c r="D173" s="67"/>
      <c r="E173" s="29"/>
      <c r="F173" s="29"/>
      <c r="G173" s="67"/>
      <c r="H173" s="29"/>
      <c r="I173" s="29"/>
      <c r="J173" s="30"/>
      <c r="K173" s="30"/>
      <c r="L173" s="30"/>
      <c r="M173" s="30"/>
      <c r="N173" s="30"/>
      <c r="O173" s="30"/>
      <c r="P173" s="30"/>
      <c r="Q173" s="30"/>
    </row>
    <row r="174" spans="2:17" x14ac:dyDescent="0.3">
      <c r="B174" s="29"/>
      <c r="C174" s="29"/>
      <c r="D174" s="67"/>
      <c r="E174" s="29"/>
      <c r="F174" s="29"/>
      <c r="G174" s="67"/>
      <c r="H174" s="29"/>
      <c r="I174" s="29"/>
      <c r="J174" s="30"/>
      <c r="K174" s="30"/>
      <c r="L174" s="30"/>
      <c r="M174" s="30"/>
      <c r="N174" s="30"/>
      <c r="O174" s="30"/>
      <c r="P174" s="30"/>
      <c r="Q174" s="30"/>
    </row>
    <row r="175" spans="2:17" x14ac:dyDescent="0.3">
      <c r="B175" s="29"/>
      <c r="C175" s="29"/>
      <c r="D175" s="67"/>
      <c r="E175" s="29"/>
      <c r="F175" s="29"/>
      <c r="G175" s="67"/>
      <c r="H175" s="29"/>
      <c r="I175" s="29"/>
      <c r="J175" s="30"/>
      <c r="K175" s="30"/>
      <c r="L175" s="30"/>
      <c r="M175" s="30"/>
      <c r="N175" s="30"/>
      <c r="O175" s="30"/>
      <c r="P175" s="30"/>
      <c r="Q175" s="30"/>
    </row>
    <row r="176" spans="2:17" x14ac:dyDescent="0.3">
      <c r="B176" s="29"/>
      <c r="C176" s="29"/>
      <c r="D176" s="67"/>
      <c r="E176" s="29"/>
      <c r="F176" s="29"/>
      <c r="G176" s="67"/>
      <c r="H176" s="29"/>
      <c r="I176" s="29"/>
      <c r="J176" s="30"/>
      <c r="K176" s="30"/>
      <c r="L176" s="30"/>
      <c r="M176" s="30"/>
      <c r="N176" s="30"/>
      <c r="O176" s="30"/>
      <c r="P176" s="30"/>
      <c r="Q176" s="30"/>
    </row>
    <row r="177" spans="2:17" x14ac:dyDescent="0.3">
      <c r="B177" s="29"/>
      <c r="C177" s="29"/>
      <c r="D177" s="67"/>
      <c r="E177" s="29"/>
      <c r="F177" s="29"/>
      <c r="G177" s="67"/>
      <c r="H177" s="29"/>
      <c r="I177" s="29"/>
      <c r="J177" s="30"/>
      <c r="K177" s="30"/>
      <c r="L177" s="30"/>
      <c r="M177" s="30"/>
      <c r="N177" s="30"/>
      <c r="O177" s="30"/>
      <c r="P177" s="30"/>
      <c r="Q177" s="30"/>
    </row>
    <row r="178" spans="2:17" x14ac:dyDescent="0.3">
      <c r="B178" s="29"/>
      <c r="C178" s="29"/>
      <c r="D178" s="67"/>
      <c r="E178" s="29"/>
      <c r="F178" s="29"/>
      <c r="G178" s="67"/>
      <c r="H178" s="29"/>
      <c r="I178" s="29"/>
      <c r="J178" s="30"/>
      <c r="K178" s="30"/>
      <c r="L178" s="30"/>
      <c r="M178" s="30"/>
      <c r="N178" s="30"/>
      <c r="O178" s="30"/>
      <c r="P178" s="30"/>
      <c r="Q178" s="30"/>
    </row>
    <row r="179" spans="2:17" x14ac:dyDescent="0.3">
      <c r="B179" s="29"/>
      <c r="C179" s="29"/>
      <c r="D179" s="67"/>
      <c r="E179" s="29"/>
      <c r="F179" s="29"/>
      <c r="G179" s="67"/>
      <c r="H179" s="29"/>
      <c r="I179" s="29"/>
      <c r="J179" s="30"/>
      <c r="K179" s="30"/>
      <c r="L179" s="30"/>
      <c r="M179" s="30"/>
      <c r="N179" s="30"/>
      <c r="O179" s="30"/>
      <c r="P179" s="30"/>
      <c r="Q179" s="30"/>
    </row>
    <row r="180" spans="2:17" x14ac:dyDescent="0.3">
      <c r="B180" s="29"/>
      <c r="C180" s="29"/>
      <c r="D180" s="67"/>
      <c r="E180" s="29"/>
      <c r="F180" s="29"/>
      <c r="G180" s="67"/>
      <c r="H180" s="29"/>
      <c r="I180" s="29"/>
      <c r="J180" s="30"/>
      <c r="K180" s="30"/>
      <c r="L180" s="30"/>
      <c r="M180" s="30"/>
      <c r="N180" s="30"/>
      <c r="O180" s="30"/>
      <c r="P180" s="30"/>
      <c r="Q180" s="30"/>
    </row>
    <row r="181" spans="2:17" x14ac:dyDescent="0.3">
      <c r="B181" s="29"/>
      <c r="C181" s="29"/>
      <c r="D181" s="67"/>
      <c r="E181" s="29"/>
      <c r="F181" s="29"/>
      <c r="G181" s="67"/>
      <c r="H181" s="29"/>
      <c r="I181" s="29"/>
      <c r="J181" s="30"/>
      <c r="K181" s="30"/>
      <c r="L181" s="30"/>
      <c r="M181" s="30"/>
      <c r="N181" s="30"/>
      <c r="O181" s="30"/>
      <c r="P181" s="30"/>
      <c r="Q181" s="30"/>
    </row>
    <row r="182" spans="2:17" x14ac:dyDescent="0.3">
      <c r="B182" s="29"/>
      <c r="C182" s="29"/>
      <c r="D182" s="67"/>
      <c r="E182" s="29"/>
      <c r="F182" s="29"/>
      <c r="G182" s="67"/>
      <c r="H182" s="29"/>
      <c r="I182" s="29"/>
      <c r="J182" s="30"/>
      <c r="K182" s="30"/>
      <c r="L182" s="30"/>
      <c r="M182" s="30"/>
      <c r="N182" s="30"/>
      <c r="O182" s="30"/>
      <c r="P182" s="30"/>
      <c r="Q182" s="30"/>
    </row>
    <row r="183" spans="2:17" x14ac:dyDescent="0.3">
      <c r="B183" s="29"/>
      <c r="C183" s="29"/>
      <c r="D183" s="67"/>
      <c r="E183" s="29"/>
      <c r="F183" s="29"/>
      <c r="G183" s="67"/>
      <c r="H183" s="29"/>
      <c r="I183" s="29"/>
      <c r="J183" s="30"/>
      <c r="K183" s="30"/>
      <c r="L183" s="30"/>
      <c r="M183" s="30"/>
      <c r="N183" s="30"/>
      <c r="O183" s="30"/>
      <c r="P183" s="30"/>
      <c r="Q183" s="30"/>
    </row>
    <row r="184" spans="2:17" x14ac:dyDescent="0.3">
      <c r="B184" s="29"/>
      <c r="C184" s="29"/>
      <c r="D184" s="67"/>
      <c r="E184" s="29"/>
      <c r="F184" s="29"/>
      <c r="G184" s="67"/>
      <c r="H184" s="29"/>
      <c r="I184" s="29"/>
      <c r="J184" s="30"/>
      <c r="K184" s="30"/>
      <c r="L184" s="30"/>
      <c r="M184" s="30"/>
      <c r="N184" s="30"/>
      <c r="O184" s="30"/>
      <c r="P184" s="30"/>
      <c r="Q184" s="30"/>
    </row>
    <row r="185" spans="2:17" x14ac:dyDescent="0.3">
      <c r="B185" s="29"/>
      <c r="C185" s="29"/>
      <c r="D185" s="67"/>
      <c r="E185" s="29"/>
      <c r="F185" s="29"/>
      <c r="G185" s="67"/>
      <c r="H185" s="29"/>
      <c r="I185" s="29"/>
      <c r="J185" s="30"/>
      <c r="K185" s="30"/>
      <c r="L185" s="30"/>
      <c r="M185" s="30"/>
      <c r="N185" s="30"/>
      <c r="O185" s="30"/>
      <c r="P185" s="30"/>
      <c r="Q185" s="30"/>
    </row>
    <row r="186" spans="2:17" x14ac:dyDescent="0.3">
      <c r="B186" s="29"/>
      <c r="C186" s="29"/>
      <c r="D186" s="67"/>
      <c r="E186" s="29"/>
      <c r="F186" s="29"/>
      <c r="G186" s="67"/>
      <c r="H186" s="29"/>
      <c r="I186" s="29"/>
      <c r="J186" s="30"/>
      <c r="K186" s="30"/>
      <c r="L186" s="30"/>
      <c r="M186" s="30"/>
      <c r="N186" s="30"/>
      <c r="O186" s="30"/>
      <c r="P186" s="30"/>
      <c r="Q186" s="30"/>
    </row>
    <row r="187" spans="2:17" x14ac:dyDescent="0.3">
      <c r="B187" s="29"/>
      <c r="C187" s="29"/>
      <c r="D187" s="67"/>
      <c r="E187" s="29"/>
      <c r="F187" s="29"/>
      <c r="G187" s="67"/>
      <c r="H187" s="29"/>
      <c r="I187" s="29"/>
      <c r="J187" s="30"/>
      <c r="K187" s="30"/>
      <c r="L187" s="30"/>
      <c r="M187" s="30"/>
      <c r="N187" s="30"/>
      <c r="O187" s="30"/>
      <c r="P187" s="30"/>
      <c r="Q187" s="30"/>
    </row>
    <row r="188" spans="2:17" x14ac:dyDescent="0.3">
      <c r="B188" s="29"/>
      <c r="C188" s="29"/>
      <c r="D188" s="67"/>
      <c r="E188" s="29"/>
      <c r="F188" s="29"/>
      <c r="G188" s="67"/>
      <c r="H188" s="29"/>
      <c r="I188" s="29"/>
      <c r="J188" s="30"/>
      <c r="K188" s="30"/>
      <c r="L188" s="30"/>
      <c r="M188" s="30"/>
      <c r="N188" s="30"/>
      <c r="O188" s="30"/>
      <c r="P188" s="30"/>
      <c r="Q188" s="30"/>
    </row>
    <row r="189" spans="2:17" x14ac:dyDescent="0.3">
      <c r="B189" s="29"/>
      <c r="C189" s="29"/>
      <c r="D189" s="67"/>
      <c r="E189" s="29"/>
      <c r="F189" s="29"/>
      <c r="G189" s="67"/>
      <c r="H189" s="29"/>
      <c r="I189" s="29"/>
      <c r="J189" s="30"/>
      <c r="K189" s="30"/>
      <c r="L189" s="30"/>
      <c r="M189" s="30"/>
      <c r="N189" s="30"/>
      <c r="O189" s="30"/>
      <c r="P189" s="30"/>
      <c r="Q189" s="30"/>
    </row>
    <row r="190" spans="2:17" x14ac:dyDescent="0.3">
      <c r="B190" s="29"/>
      <c r="C190" s="29"/>
      <c r="D190" s="67"/>
      <c r="E190" s="29"/>
      <c r="F190" s="29"/>
      <c r="G190" s="67"/>
      <c r="H190" s="29"/>
      <c r="I190" s="29"/>
      <c r="J190" s="30"/>
      <c r="K190" s="30"/>
      <c r="L190" s="30"/>
      <c r="M190" s="30"/>
      <c r="N190" s="30"/>
      <c r="O190" s="30"/>
      <c r="P190" s="30"/>
      <c r="Q190" s="30"/>
    </row>
    <row r="191" spans="2:17" x14ac:dyDescent="0.3">
      <c r="B191" s="29"/>
      <c r="C191" s="29"/>
      <c r="D191" s="67"/>
      <c r="E191" s="29"/>
      <c r="F191" s="29"/>
      <c r="G191" s="67"/>
      <c r="H191" s="29"/>
      <c r="I191" s="29"/>
      <c r="J191" s="30"/>
      <c r="K191" s="30"/>
      <c r="L191" s="30"/>
      <c r="M191" s="30"/>
      <c r="N191" s="30"/>
      <c r="O191" s="30"/>
      <c r="P191" s="30"/>
      <c r="Q191" s="30"/>
    </row>
    <row r="192" spans="2:17" x14ac:dyDescent="0.3">
      <c r="B192" s="29"/>
      <c r="C192" s="29"/>
      <c r="D192" s="67"/>
      <c r="E192" s="29"/>
      <c r="F192" s="29"/>
      <c r="G192" s="67"/>
      <c r="H192" s="29"/>
      <c r="I192" s="29"/>
      <c r="J192" s="30"/>
      <c r="K192" s="30"/>
      <c r="L192" s="30"/>
      <c r="M192" s="30"/>
      <c r="N192" s="30"/>
      <c r="O192" s="30"/>
      <c r="P192" s="30"/>
      <c r="Q192" s="30"/>
    </row>
    <row r="193" spans="2:17" x14ac:dyDescent="0.3">
      <c r="B193" s="29"/>
      <c r="C193" s="29"/>
      <c r="D193" s="67"/>
      <c r="E193" s="29"/>
      <c r="F193" s="29"/>
      <c r="G193" s="67"/>
      <c r="H193" s="29"/>
      <c r="I193" s="29"/>
      <c r="J193" s="30"/>
      <c r="K193" s="30"/>
      <c r="L193" s="30"/>
      <c r="M193" s="30"/>
      <c r="N193" s="30"/>
      <c r="O193" s="30"/>
      <c r="P193" s="30"/>
      <c r="Q193" s="30"/>
    </row>
    <row r="194" spans="2:17" x14ac:dyDescent="0.3">
      <c r="B194" s="29"/>
      <c r="C194" s="29"/>
      <c r="D194" s="67"/>
      <c r="E194" s="29"/>
      <c r="F194" s="29"/>
      <c r="G194" s="67"/>
      <c r="H194" s="29"/>
      <c r="I194" s="29"/>
      <c r="J194" s="30"/>
      <c r="K194" s="30"/>
      <c r="L194" s="30"/>
      <c r="M194" s="30"/>
      <c r="N194" s="30"/>
      <c r="O194" s="30"/>
      <c r="P194" s="30"/>
      <c r="Q194" s="30"/>
    </row>
    <row r="195" spans="2:17" x14ac:dyDescent="0.3">
      <c r="B195" s="29"/>
      <c r="C195" s="29"/>
      <c r="D195" s="67"/>
      <c r="E195" s="29"/>
      <c r="F195" s="29"/>
      <c r="G195" s="67"/>
      <c r="H195" s="29"/>
      <c r="I195" s="29"/>
      <c r="J195" s="30"/>
      <c r="K195" s="30"/>
      <c r="L195" s="30"/>
      <c r="M195" s="30"/>
      <c r="N195" s="30"/>
      <c r="O195" s="30"/>
      <c r="P195" s="30"/>
      <c r="Q195" s="30"/>
    </row>
    <row r="196" spans="2:17" x14ac:dyDescent="0.3">
      <c r="B196" s="29"/>
      <c r="C196" s="29"/>
      <c r="D196" s="67"/>
      <c r="E196" s="29"/>
      <c r="F196" s="29"/>
      <c r="G196" s="67"/>
      <c r="H196" s="29"/>
      <c r="I196" s="29"/>
      <c r="J196" s="30"/>
      <c r="K196" s="30"/>
      <c r="L196" s="30"/>
      <c r="M196" s="30"/>
      <c r="N196" s="30"/>
      <c r="O196" s="30"/>
      <c r="P196" s="30"/>
      <c r="Q196" s="30"/>
    </row>
    <row r="197" spans="2:17" x14ac:dyDescent="0.3">
      <c r="B197" s="29"/>
      <c r="C197" s="29"/>
      <c r="D197" s="67"/>
      <c r="E197" s="29"/>
      <c r="F197" s="29"/>
      <c r="G197" s="67"/>
      <c r="H197" s="29"/>
      <c r="I197" s="29"/>
      <c r="J197" s="30"/>
      <c r="K197" s="30"/>
      <c r="L197" s="30"/>
      <c r="M197" s="30"/>
      <c r="N197" s="30"/>
      <c r="O197" s="30"/>
      <c r="P197" s="30"/>
      <c r="Q197" s="30"/>
    </row>
    <row r="198" spans="2:17" x14ac:dyDescent="0.3">
      <c r="B198" s="29"/>
      <c r="C198" s="29"/>
      <c r="D198" s="67"/>
      <c r="E198" s="29"/>
      <c r="F198" s="29"/>
      <c r="G198" s="67"/>
      <c r="H198" s="29"/>
      <c r="I198" s="29"/>
      <c r="J198" s="30"/>
      <c r="K198" s="30"/>
      <c r="L198" s="30"/>
      <c r="M198" s="30"/>
      <c r="N198" s="30"/>
      <c r="O198" s="30"/>
      <c r="P198" s="30"/>
      <c r="Q198" s="30"/>
    </row>
    <row r="199" spans="2:17" x14ac:dyDescent="0.3">
      <c r="B199" s="29"/>
      <c r="C199" s="29"/>
      <c r="D199" s="67"/>
      <c r="E199" s="29"/>
      <c r="F199" s="29"/>
      <c r="G199" s="67"/>
      <c r="H199" s="29"/>
      <c r="I199" s="29"/>
      <c r="J199" s="30"/>
      <c r="K199" s="30"/>
      <c r="L199" s="30"/>
      <c r="M199" s="30"/>
      <c r="N199" s="30"/>
      <c r="O199" s="30"/>
      <c r="P199" s="30"/>
      <c r="Q199" s="30"/>
    </row>
    <row r="200" spans="2:17" x14ac:dyDescent="0.3">
      <c r="B200" s="29"/>
      <c r="C200" s="29"/>
      <c r="D200" s="67"/>
      <c r="E200" s="29"/>
      <c r="F200" s="29"/>
      <c r="G200" s="67"/>
      <c r="H200" s="29"/>
      <c r="I200" s="29"/>
      <c r="J200" s="30"/>
      <c r="K200" s="30"/>
      <c r="L200" s="30"/>
      <c r="M200" s="30"/>
      <c r="N200" s="30"/>
      <c r="O200" s="30"/>
      <c r="P200" s="30"/>
      <c r="Q200" s="30"/>
    </row>
    <row r="201" spans="2:17" x14ac:dyDescent="0.3">
      <c r="B201" s="29"/>
      <c r="C201" s="29"/>
      <c r="D201" s="67"/>
      <c r="E201" s="29"/>
      <c r="F201" s="29"/>
      <c r="G201" s="67"/>
      <c r="H201" s="29"/>
      <c r="I201" s="29"/>
      <c r="J201" s="30"/>
      <c r="K201" s="30"/>
      <c r="L201" s="30"/>
      <c r="M201" s="30"/>
      <c r="N201" s="30"/>
      <c r="O201" s="30"/>
      <c r="P201" s="30"/>
      <c r="Q201" s="30"/>
    </row>
    <row r="202" spans="2:17" x14ac:dyDescent="0.3">
      <c r="B202" s="29"/>
      <c r="C202" s="29"/>
      <c r="D202" s="67"/>
      <c r="E202" s="29"/>
      <c r="F202" s="29"/>
      <c r="G202" s="67"/>
      <c r="H202" s="29"/>
      <c r="I202" s="29"/>
      <c r="J202" s="30"/>
      <c r="K202" s="30"/>
      <c r="L202" s="30"/>
      <c r="M202" s="30"/>
      <c r="N202" s="30"/>
      <c r="O202" s="30"/>
      <c r="P202" s="30"/>
      <c r="Q202" s="30"/>
    </row>
    <row r="203" spans="2:17" x14ac:dyDescent="0.3">
      <c r="B203" s="29"/>
      <c r="C203" s="29"/>
      <c r="D203" s="67"/>
      <c r="E203" s="29"/>
      <c r="F203" s="29"/>
      <c r="G203" s="67"/>
      <c r="H203" s="29"/>
      <c r="I203" s="29"/>
      <c r="J203" s="30"/>
      <c r="K203" s="30"/>
      <c r="L203" s="30"/>
      <c r="M203" s="30"/>
      <c r="N203" s="30"/>
      <c r="O203" s="30"/>
      <c r="P203" s="30"/>
      <c r="Q203" s="30"/>
    </row>
    <row r="204" spans="2:17" x14ac:dyDescent="0.3">
      <c r="B204" s="29"/>
      <c r="C204" s="29"/>
      <c r="D204" s="67"/>
      <c r="E204" s="29"/>
      <c r="F204" s="29"/>
      <c r="G204" s="67"/>
      <c r="H204" s="29"/>
      <c r="I204" s="29"/>
      <c r="J204" s="30"/>
      <c r="K204" s="30"/>
      <c r="L204" s="30"/>
      <c r="M204" s="30"/>
      <c r="N204" s="30"/>
      <c r="O204" s="30"/>
      <c r="P204" s="30"/>
      <c r="Q204" s="30"/>
    </row>
    <row r="205" spans="2:17" x14ac:dyDescent="0.3">
      <c r="B205" s="29"/>
      <c r="C205" s="29"/>
      <c r="D205" s="67"/>
      <c r="E205" s="29"/>
      <c r="F205" s="29"/>
      <c r="G205" s="67"/>
      <c r="H205" s="29"/>
      <c r="I205" s="29"/>
      <c r="J205" s="30"/>
      <c r="K205" s="30"/>
      <c r="L205" s="30"/>
      <c r="M205" s="30"/>
      <c r="N205" s="30"/>
      <c r="O205" s="30"/>
      <c r="P205" s="30"/>
      <c r="Q205" s="30"/>
    </row>
    <row r="206" spans="2:17" x14ac:dyDescent="0.3">
      <c r="B206" s="29"/>
      <c r="C206" s="29"/>
      <c r="D206" s="67"/>
      <c r="E206" s="29"/>
      <c r="F206" s="29"/>
      <c r="G206" s="67"/>
      <c r="H206" s="29"/>
      <c r="I206" s="29"/>
      <c r="J206" s="30"/>
      <c r="K206" s="30"/>
      <c r="L206" s="30"/>
      <c r="M206" s="30"/>
      <c r="N206" s="30"/>
      <c r="O206" s="30"/>
      <c r="P206" s="30"/>
      <c r="Q206" s="30"/>
    </row>
    <row r="207" spans="2:17" x14ac:dyDescent="0.3">
      <c r="B207" s="29"/>
      <c r="C207" s="29"/>
      <c r="D207" s="67"/>
      <c r="E207" s="29"/>
      <c r="F207" s="29"/>
      <c r="G207" s="67"/>
      <c r="H207" s="29"/>
      <c r="I207" s="29"/>
      <c r="J207" s="30"/>
      <c r="K207" s="30"/>
      <c r="L207" s="30"/>
      <c r="M207" s="30"/>
      <c r="N207" s="30"/>
      <c r="O207" s="30"/>
      <c r="P207" s="30"/>
      <c r="Q207" s="30"/>
    </row>
    <row r="208" spans="2:17" x14ac:dyDescent="0.3">
      <c r="B208" s="29"/>
      <c r="C208" s="29"/>
      <c r="D208" s="67"/>
      <c r="E208" s="29"/>
      <c r="F208" s="29"/>
      <c r="G208" s="67"/>
      <c r="H208" s="29"/>
      <c r="I208" s="29"/>
      <c r="J208" s="30"/>
      <c r="K208" s="30"/>
      <c r="L208" s="30"/>
      <c r="M208" s="30"/>
      <c r="N208" s="30"/>
      <c r="O208" s="30"/>
      <c r="P208" s="30"/>
      <c r="Q208" s="30"/>
    </row>
    <row r="209" spans="2:17" x14ac:dyDescent="0.3">
      <c r="B209" s="29"/>
      <c r="C209" s="29"/>
      <c r="D209" s="67"/>
      <c r="E209" s="29"/>
      <c r="F209" s="29"/>
      <c r="G209" s="67"/>
      <c r="H209" s="29"/>
      <c r="I209" s="29"/>
      <c r="J209" s="30"/>
      <c r="K209" s="30"/>
      <c r="L209" s="30"/>
      <c r="M209" s="30"/>
      <c r="N209" s="30"/>
      <c r="O209" s="30"/>
      <c r="P209" s="30"/>
      <c r="Q209" s="30"/>
    </row>
    <row r="210" spans="2:17" x14ac:dyDescent="0.3">
      <c r="B210" s="29"/>
      <c r="C210" s="29"/>
      <c r="D210" s="67"/>
      <c r="E210" s="29"/>
      <c r="F210" s="29"/>
      <c r="G210" s="67"/>
      <c r="H210" s="29"/>
      <c r="I210" s="29"/>
      <c r="J210" s="30"/>
      <c r="K210" s="30"/>
      <c r="L210" s="30"/>
      <c r="M210" s="30"/>
      <c r="N210" s="30"/>
      <c r="O210" s="30"/>
      <c r="P210" s="30"/>
      <c r="Q210" s="30"/>
    </row>
    <row r="211" spans="2:17" x14ac:dyDescent="0.3">
      <c r="B211" s="29"/>
      <c r="C211" s="29"/>
      <c r="D211" s="67"/>
      <c r="E211" s="29"/>
      <c r="F211" s="29"/>
      <c r="G211" s="67"/>
      <c r="H211" s="29"/>
      <c r="I211" s="29"/>
      <c r="J211" s="30"/>
      <c r="K211" s="30"/>
      <c r="L211" s="30"/>
      <c r="M211" s="30"/>
      <c r="N211" s="30"/>
      <c r="O211" s="30"/>
      <c r="P211" s="30"/>
      <c r="Q211" s="30"/>
    </row>
    <row r="212" spans="2:17" x14ac:dyDescent="0.3">
      <c r="B212" s="29"/>
      <c r="C212" s="29"/>
      <c r="D212" s="67"/>
      <c r="E212" s="29"/>
      <c r="F212" s="29"/>
      <c r="G212" s="67"/>
      <c r="H212" s="29"/>
      <c r="I212" s="29"/>
      <c r="J212" s="30"/>
      <c r="K212" s="30"/>
      <c r="L212" s="30"/>
      <c r="M212" s="30"/>
      <c r="N212" s="30"/>
      <c r="O212" s="30"/>
      <c r="P212" s="30"/>
      <c r="Q212" s="30"/>
    </row>
    <row r="213" spans="2:17" x14ac:dyDescent="0.3">
      <c r="B213" s="29"/>
      <c r="C213" s="29"/>
      <c r="D213" s="67"/>
      <c r="E213" s="29"/>
      <c r="F213" s="29"/>
      <c r="G213" s="67"/>
      <c r="H213" s="29"/>
      <c r="I213" s="29"/>
      <c r="J213" s="30"/>
      <c r="K213" s="30"/>
      <c r="L213" s="30"/>
      <c r="M213" s="30"/>
      <c r="N213" s="30"/>
      <c r="O213" s="30"/>
      <c r="P213" s="30"/>
      <c r="Q213" s="30"/>
    </row>
    <row r="214" spans="2:17" x14ac:dyDescent="0.3">
      <c r="B214" s="29"/>
      <c r="C214" s="29"/>
      <c r="D214" s="67"/>
      <c r="E214" s="29"/>
      <c r="F214" s="29"/>
      <c r="G214" s="67"/>
      <c r="H214" s="29"/>
      <c r="I214" s="29"/>
      <c r="J214" s="30"/>
      <c r="K214" s="30"/>
      <c r="L214" s="30"/>
      <c r="M214" s="30"/>
      <c r="N214" s="30"/>
      <c r="O214" s="30"/>
      <c r="P214" s="30"/>
      <c r="Q214" s="30"/>
    </row>
    <row r="215" spans="2:17" x14ac:dyDescent="0.3">
      <c r="B215" s="29"/>
      <c r="C215" s="29"/>
      <c r="D215" s="67"/>
      <c r="E215" s="29"/>
      <c r="F215" s="29"/>
      <c r="G215" s="67"/>
      <c r="H215" s="29"/>
      <c r="I215" s="29"/>
      <c r="J215" s="30"/>
      <c r="K215" s="30"/>
      <c r="L215" s="30"/>
      <c r="M215" s="30"/>
      <c r="N215" s="30"/>
      <c r="O215" s="30"/>
      <c r="P215" s="30"/>
      <c r="Q215" s="30"/>
    </row>
    <row r="216" spans="2:17" x14ac:dyDescent="0.3">
      <c r="B216" s="29"/>
      <c r="C216" s="29"/>
      <c r="D216" s="67"/>
      <c r="E216" s="29"/>
      <c r="F216" s="29"/>
      <c r="G216" s="67"/>
      <c r="H216" s="29"/>
      <c r="I216" s="29"/>
      <c r="J216" s="30"/>
      <c r="K216" s="30"/>
      <c r="L216" s="30"/>
      <c r="M216" s="30"/>
      <c r="N216" s="30"/>
      <c r="O216" s="30"/>
      <c r="P216" s="30"/>
      <c r="Q216" s="30"/>
    </row>
    <row r="217" spans="2:17" x14ac:dyDescent="0.3">
      <c r="B217" s="29"/>
      <c r="C217" s="29"/>
      <c r="D217" s="67"/>
      <c r="E217" s="29"/>
      <c r="F217" s="29"/>
      <c r="G217" s="67"/>
      <c r="H217" s="29"/>
      <c r="I217" s="29"/>
      <c r="J217" s="30"/>
      <c r="K217" s="30"/>
      <c r="L217" s="30"/>
      <c r="M217" s="30"/>
      <c r="N217" s="30"/>
      <c r="O217" s="30"/>
      <c r="P217" s="30"/>
      <c r="Q217" s="30"/>
    </row>
    <row r="218" spans="2:17" x14ac:dyDescent="0.3">
      <c r="B218" s="29"/>
      <c r="C218" s="29"/>
      <c r="D218" s="67"/>
      <c r="E218" s="29"/>
      <c r="F218" s="29"/>
      <c r="G218" s="67"/>
      <c r="H218" s="29"/>
      <c r="I218" s="29"/>
      <c r="J218" s="30"/>
      <c r="K218" s="30"/>
      <c r="L218" s="30"/>
      <c r="M218" s="30"/>
      <c r="N218" s="30"/>
      <c r="O218" s="30"/>
      <c r="P218" s="30"/>
      <c r="Q218" s="30"/>
    </row>
    <row r="219" spans="2:17" x14ac:dyDescent="0.3">
      <c r="B219" s="29"/>
      <c r="C219" s="29"/>
      <c r="D219" s="67"/>
      <c r="E219" s="29"/>
      <c r="F219" s="29"/>
      <c r="G219" s="67"/>
      <c r="H219" s="29"/>
      <c r="I219" s="29"/>
      <c r="J219" s="30"/>
      <c r="K219" s="30"/>
      <c r="L219" s="30"/>
      <c r="M219" s="30"/>
      <c r="N219" s="30"/>
      <c r="O219" s="30"/>
      <c r="P219" s="30"/>
      <c r="Q219" s="30"/>
    </row>
    <row r="220" spans="2:17" x14ac:dyDescent="0.3">
      <c r="B220" s="29"/>
      <c r="C220" s="29"/>
      <c r="D220" s="67"/>
      <c r="E220" s="29"/>
      <c r="F220" s="29"/>
      <c r="G220" s="67"/>
      <c r="H220" s="29"/>
      <c r="I220" s="29"/>
      <c r="J220" s="30"/>
      <c r="K220" s="30"/>
      <c r="L220" s="30"/>
      <c r="M220" s="30"/>
      <c r="N220" s="30"/>
      <c r="O220" s="30"/>
      <c r="P220" s="30"/>
      <c r="Q220" s="30"/>
    </row>
    <row r="221" spans="2:17" x14ac:dyDescent="0.3">
      <c r="B221" s="29"/>
      <c r="C221" s="29"/>
      <c r="D221" s="67"/>
      <c r="E221" s="29"/>
      <c r="F221" s="29"/>
      <c r="G221" s="67"/>
      <c r="H221" s="29"/>
      <c r="I221" s="29"/>
      <c r="J221" s="30"/>
      <c r="K221" s="30"/>
      <c r="L221" s="30"/>
      <c r="M221" s="30"/>
      <c r="N221" s="30"/>
      <c r="O221" s="30"/>
      <c r="P221" s="30"/>
      <c r="Q221" s="30"/>
    </row>
    <row r="222" spans="2:17" x14ac:dyDescent="0.3">
      <c r="B222" s="29"/>
      <c r="C222" s="29"/>
      <c r="D222" s="67"/>
      <c r="E222" s="29"/>
      <c r="F222" s="29"/>
      <c r="G222" s="67"/>
      <c r="H222" s="29"/>
      <c r="I222" s="29"/>
      <c r="J222" s="30"/>
      <c r="K222" s="30"/>
      <c r="L222" s="30"/>
      <c r="M222" s="30"/>
      <c r="N222" s="30"/>
      <c r="O222" s="30"/>
      <c r="P222" s="30"/>
      <c r="Q222" s="30"/>
    </row>
    <row r="223" spans="2:17" x14ac:dyDescent="0.3">
      <c r="B223" s="29"/>
      <c r="C223" s="29"/>
      <c r="D223" s="67"/>
      <c r="E223" s="29"/>
      <c r="F223" s="29"/>
      <c r="G223" s="67"/>
      <c r="H223" s="29"/>
      <c r="I223" s="29"/>
      <c r="J223" s="30"/>
      <c r="K223" s="30"/>
      <c r="L223" s="30"/>
      <c r="M223" s="30"/>
      <c r="N223" s="30"/>
      <c r="O223" s="30"/>
      <c r="P223" s="30"/>
      <c r="Q223" s="30"/>
    </row>
    <row r="224" spans="2:17" x14ac:dyDescent="0.3">
      <c r="B224" s="29"/>
      <c r="C224" s="29"/>
      <c r="D224" s="67"/>
      <c r="E224" s="29"/>
      <c r="F224" s="29"/>
      <c r="G224" s="67"/>
      <c r="H224" s="29"/>
      <c r="I224" s="29"/>
      <c r="J224" s="30"/>
      <c r="K224" s="30"/>
      <c r="L224" s="30"/>
      <c r="M224" s="30"/>
      <c r="N224" s="30"/>
      <c r="O224" s="30"/>
      <c r="P224" s="30"/>
      <c r="Q224" s="30"/>
    </row>
    <row r="225" spans="2:17" x14ac:dyDescent="0.3">
      <c r="B225" s="29"/>
      <c r="C225" s="29"/>
      <c r="D225" s="67"/>
      <c r="E225" s="29"/>
      <c r="F225" s="29"/>
      <c r="G225" s="67"/>
      <c r="H225" s="29"/>
      <c r="I225" s="29"/>
      <c r="J225" s="30"/>
      <c r="K225" s="30"/>
      <c r="L225" s="30"/>
      <c r="M225" s="30"/>
      <c r="N225" s="30"/>
      <c r="O225" s="30"/>
      <c r="P225" s="30"/>
      <c r="Q225" s="30"/>
    </row>
    <row r="226" spans="2:17" x14ac:dyDescent="0.3">
      <c r="B226" s="29"/>
      <c r="C226" s="29"/>
      <c r="D226" s="67"/>
      <c r="E226" s="29"/>
      <c r="F226" s="29"/>
      <c r="G226" s="67"/>
      <c r="H226" s="29"/>
      <c r="I226" s="29"/>
      <c r="J226" s="30"/>
      <c r="K226" s="30"/>
      <c r="L226" s="30"/>
      <c r="M226" s="30"/>
      <c r="N226" s="30"/>
      <c r="O226" s="30"/>
      <c r="P226" s="30"/>
      <c r="Q226" s="30"/>
    </row>
    <row r="227" spans="2:17" x14ac:dyDescent="0.3">
      <c r="B227" s="29"/>
      <c r="C227" s="29"/>
      <c r="D227" s="67"/>
      <c r="E227" s="29"/>
      <c r="F227" s="29"/>
      <c r="G227" s="67"/>
      <c r="H227" s="29"/>
      <c r="I227" s="29"/>
      <c r="J227" s="30"/>
      <c r="K227" s="30"/>
      <c r="L227" s="30"/>
      <c r="M227" s="30"/>
      <c r="N227" s="30"/>
      <c r="O227" s="30"/>
      <c r="P227" s="30"/>
      <c r="Q227" s="30"/>
    </row>
    <row r="228" spans="2:17" x14ac:dyDescent="0.3">
      <c r="B228" s="29"/>
      <c r="C228" s="29"/>
      <c r="D228" s="67"/>
      <c r="E228" s="29"/>
      <c r="F228" s="29"/>
      <c r="G228" s="67"/>
      <c r="H228" s="29"/>
      <c r="I228" s="29"/>
      <c r="J228" s="30"/>
      <c r="K228" s="30"/>
      <c r="L228" s="30"/>
      <c r="M228" s="30"/>
      <c r="N228" s="30"/>
      <c r="O228" s="30"/>
      <c r="P228" s="30"/>
      <c r="Q228" s="30"/>
    </row>
    <row r="229" spans="2:17" x14ac:dyDescent="0.3">
      <c r="B229" s="29"/>
      <c r="C229" s="29"/>
      <c r="D229" s="67"/>
      <c r="E229" s="29"/>
      <c r="F229" s="29"/>
      <c r="G229" s="67"/>
      <c r="H229" s="29"/>
      <c r="I229" s="29"/>
      <c r="J229" s="30"/>
      <c r="K229" s="30"/>
      <c r="L229" s="30"/>
      <c r="M229" s="30"/>
      <c r="N229" s="30"/>
      <c r="O229" s="30"/>
      <c r="P229" s="30"/>
      <c r="Q229" s="30"/>
    </row>
    <row r="230" spans="2:17" x14ac:dyDescent="0.3">
      <c r="B230" s="29"/>
      <c r="C230" s="29"/>
      <c r="D230" s="67"/>
      <c r="E230" s="29"/>
      <c r="F230" s="29"/>
      <c r="G230" s="67"/>
      <c r="H230" s="29"/>
      <c r="I230" s="29"/>
      <c r="J230" s="30"/>
      <c r="K230" s="30"/>
      <c r="L230" s="30"/>
      <c r="M230" s="30"/>
      <c r="N230" s="30"/>
      <c r="O230" s="30"/>
      <c r="P230" s="30"/>
      <c r="Q230" s="30"/>
    </row>
    <row r="231" spans="2:17" x14ac:dyDescent="0.3">
      <c r="B231" s="29"/>
      <c r="C231" s="29"/>
      <c r="D231" s="67"/>
      <c r="E231" s="29"/>
      <c r="F231" s="29"/>
      <c r="G231" s="67"/>
      <c r="H231" s="29"/>
      <c r="I231" s="29"/>
      <c r="J231" s="30"/>
      <c r="K231" s="30"/>
      <c r="L231" s="30"/>
      <c r="M231" s="30"/>
      <c r="N231" s="30"/>
      <c r="O231" s="30"/>
      <c r="P231" s="30"/>
      <c r="Q231" s="30"/>
    </row>
    <row r="232" spans="2:17" x14ac:dyDescent="0.3">
      <c r="B232" s="29"/>
      <c r="C232" s="29"/>
      <c r="D232" s="67"/>
      <c r="E232" s="29"/>
      <c r="F232" s="29"/>
      <c r="G232" s="67"/>
      <c r="H232" s="29"/>
      <c r="I232" s="29"/>
      <c r="J232" s="30"/>
      <c r="K232" s="30"/>
      <c r="L232" s="30"/>
      <c r="M232" s="30"/>
      <c r="N232" s="30"/>
      <c r="O232" s="30"/>
      <c r="P232" s="30"/>
      <c r="Q232" s="30"/>
    </row>
    <row r="233" spans="2:17" x14ac:dyDescent="0.3">
      <c r="B233" s="29"/>
      <c r="C233" s="29"/>
      <c r="D233" s="67"/>
      <c r="E233" s="29"/>
      <c r="F233" s="29"/>
      <c r="G233" s="67"/>
      <c r="H233" s="29"/>
      <c r="I233" s="29"/>
      <c r="J233" s="30"/>
      <c r="K233" s="30"/>
      <c r="L233" s="30"/>
      <c r="M233" s="30"/>
      <c r="N233" s="30"/>
      <c r="O233" s="30"/>
      <c r="P233" s="30"/>
      <c r="Q233" s="30"/>
    </row>
    <row r="234" spans="2:17" x14ac:dyDescent="0.3">
      <c r="B234" s="29"/>
      <c r="C234" s="29"/>
      <c r="D234" s="67"/>
      <c r="E234" s="29"/>
      <c r="F234" s="29"/>
      <c r="G234" s="67"/>
      <c r="H234" s="29"/>
      <c r="I234" s="29"/>
      <c r="J234" s="30"/>
      <c r="K234" s="30"/>
      <c r="L234" s="30"/>
      <c r="M234" s="30"/>
      <c r="N234" s="30"/>
      <c r="O234" s="30"/>
      <c r="P234" s="30"/>
      <c r="Q234" s="30"/>
    </row>
    <row r="235" spans="2:17" x14ac:dyDescent="0.3">
      <c r="B235" s="29"/>
      <c r="C235" s="29"/>
      <c r="D235" s="67"/>
      <c r="E235" s="29"/>
      <c r="F235" s="29"/>
      <c r="G235" s="67"/>
      <c r="H235" s="29"/>
      <c r="I235" s="29"/>
      <c r="J235" s="30"/>
      <c r="K235" s="30"/>
      <c r="L235" s="30"/>
      <c r="M235" s="30"/>
      <c r="N235" s="30"/>
      <c r="O235" s="30"/>
      <c r="P235" s="30"/>
      <c r="Q235" s="30"/>
    </row>
    <row r="236" spans="2:17" x14ac:dyDescent="0.3">
      <c r="B236" s="29"/>
      <c r="C236" s="29"/>
      <c r="D236" s="67"/>
      <c r="E236" s="29"/>
      <c r="F236" s="29"/>
      <c r="G236" s="67"/>
      <c r="H236" s="29"/>
      <c r="I236" s="29"/>
      <c r="J236" s="30"/>
      <c r="K236" s="30"/>
      <c r="L236" s="30"/>
      <c r="M236" s="30"/>
      <c r="N236" s="30"/>
      <c r="O236" s="30"/>
      <c r="P236" s="30"/>
      <c r="Q236" s="30"/>
    </row>
    <row r="237" spans="2:17" x14ac:dyDescent="0.3">
      <c r="B237" s="29"/>
      <c r="C237" s="29"/>
      <c r="D237" s="67"/>
      <c r="E237" s="29"/>
      <c r="F237" s="29"/>
      <c r="G237" s="67"/>
      <c r="H237" s="29"/>
      <c r="I237" s="29"/>
      <c r="J237" s="30"/>
      <c r="K237" s="30"/>
      <c r="L237" s="30"/>
      <c r="M237" s="30"/>
      <c r="N237" s="30"/>
      <c r="O237" s="30"/>
      <c r="P237" s="30"/>
      <c r="Q237" s="30"/>
    </row>
    <row r="238" spans="2:17" x14ac:dyDescent="0.3">
      <c r="B238" s="29"/>
      <c r="C238" s="29"/>
      <c r="D238" s="67"/>
      <c r="E238" s="29"/>
      <c r="F238" s="29"/>
      <c r="G238" s="67"/>
      <c r="H238" s="29"/>
      <c r="I238" s="29"/>
      <c r="J238" s="30"/>
      <c r="K238" s="30"/>
      <c r="L238" s="30"/>
      <c r="M238" s="30"/>
      <c r="N238" s="30"/>
      <c r="O238" s="30"/>
      <c r="P238" s="30"/>
      <c r="Q238" s="30"/>
    </row>
    <row r="239" spans="2:17" x14ac:dyDescent="0.3">
      <c r="B239" s="29"/>
      <c r="C239" s="29"/>
      <c r="D239" s="67"/>
      <c r="E239" s="29"/>
      <c r="F239" s="29"/>
      <c r="G239" s="67"/>
      <c r="H239" s="29"/>
      <c r="I239" s="29"/>
      <c r="J239" s="30"/>
      <c r="K239" s="30"/>
      <c r="L239" s="30"/>
      <c r="M239" s="30"/>
      <c r="N239" s="30"/>
      <c r="O239" s="30"/>
      <c r="P239" s="30"/>
      <c r="Q239" s="30"/>
    </row>
    <row r="240" spans="2:17" x14ac:dyDescent="0.3">
      <c r="B240" s="29"/>
      <c r="C240" s="29"/>
      <c r="D240" s="67"/>
      <c r="E240" s="29"/>
      <c r="F240" s="29"/>
      <c r="G240" s="67"/>
      <c r="H240" s="29"/>
      <c r="I240" s="29"/>
      <c r="J240" s="30"/>
      <c r="K240" s="30"/>
      <c r="L240" s="30"/>
      <c r="M240" s="30"/>
      <c r="N240" s="30"/>
      <c r="O240" s="30"/>
      <c r="P240" s="30"/>
      <c r="Q240" s="30"/>
    </row>
    <row r="241" spans="2:17" x14ac:dyDescent="0.3">
      <c r="B241" s="29"/>
      <c r="C241" s="29"/>
      <c r="D241" s="67"/>
      <c r="E241" s="29"/>
      <c r="F241" s="29"/>
      <c r="G241" s="67"/>
      <c r="H241" s="29"/>
      <c r="I241" s="29"/>
      <c r="J241" s="30"/>
      <c r="K241" s="30"/>
      <c r="L241" s="30"/>
      <c r="M241" s="30"/>
      <c r="N241" s="30"/>
      <c r="O241" s="30"/>
      <c r="P241" s="30"/>
      <c r="Q241" s="30"/>
    </row>
    <row r="242" spans="2:17" x14ac:dyDescent="0.3">
      <c r="B242" s="29"/>
      <c r="C242" s="29"/>
      <c r="D242" s="67"/>
      <c r="E242" s="29"/>
      <c r="F242" s="29"/>
      <c r="G242" s="67"/>
      <c r="H242" s="29"/>
      <c r="I242" s="29"/>
      <c r="J242" s="30"/>
      <c r="K242" s="30"/>
      <c r="L242" s="30"/>
      <c r="M242" s="30"/>
      <c r="N242" s="30"/>
      <c r="O242" s="30"/>
      <c r="P242" s="30"/>
      <c r="Q242" s="30"/>
    </row>
    <row r="243" spans="2:17" x14ac:dyDescent="0.3">
      <c r="B243" s="29"/>
      <c r="C243" s="29"/>
      <c r="D243" s="67"/>
      <c r="E243" s="29"/>
      <c r="F243" s="29"/>
      <c r="G243" s="67"/>
      <c r="H243" s="29"/>
      <c r="I243" s="29"/>
      <c r="J243" s="30"/>
      <c r="K243" s="30"/>
      <c r="L243" s="30"/>
      <c r="M243" s="30"/>
      <c r="N243" s="30"/>
      <c r="O243" s="30"/>
      <c r="P243" s="30"/>
      <c r="Q243" s="30"/>
    </row>
    <row r="244" spans="2:17" x14ac:dyDescent="0.3">
      <c r="B244" s="29"/>
      <c r="C244" s="29"/>
      <c r="D244" s="67"/>
      <c r="E244" s="29"/>
      <c r="F244" s="29"/>
      <c r="G244" s="67"/>
      <c r="H244" s="29"/>
      <c r="I244" s="29"/>
      <c r="J244" s="30"/>
      <c r="K244" s="30"/>
      <c r="L244" s="30"/>
      <c r="M244" s="30"/>
      <c r="N244" s="30"/>
      <c r="O244" s="30"/>
      <c r="P244" s="30"/>
      <c r="Q244" s="30"/>
    </row>
    <row r="245" spans="2:17" x14ac:dyDescent="0.3">
      <c r="B245" s="29"/>
      <c r="C245" s="29"/>
      <c r="D245" s="67"/>
      <c r="E245" s="29"/>
      <c r="F245" s="29"/>
      <c r="G245" s="67"/>
      <c r="H245" s="29"/>
      <c r="I245" s="29"/>
      <c r="J245" s="30"/>
      <c r="K245" s="30"/>
      <c r="L245" s="30"/>
      <c r="M245" s="30"/>
      <c r="N245" s="30"/>
      <c r="O245" s="30"/>
      <c r="P245" s="30"/>
      <c r="Q245" s="30"/>
    </row>
    <row r="246" spans="2:17" x14ac:dyDescent="0.3">
      <c r="B246" s="29"/>
      <c r="C246" s="29"/>
      <c r="D246" s="67"/>
      <c r="E246" s="29"/>
      <c r="F246" s="29"/>
      <c r="G246" s="67"/>
      <c r="H246" s="29"/>
      <c r="I246" s="29"/>
      <c r="J246" s="30"/>
      <c r="K246" s="30"/>
      <c r="L246" s="30"/>
      <c r="M246" s="30"/>
      <c r="N246" s="30"/>
      <c r="O246" s="30"/>
      <c r="P246" s="30"/>
      <c r="Q246" s="30"/>
    </row>
    <row r="247" spans="2:17" x14ac:dyDescent="0.3">
      <c r="B247" s="29"/>
      <c r="C247" s="29"/>
      <c r="D247" s="67"/>
      <c r="E247" s="29"/>
      <c r="F247" s="29"/>
      <c r="G247" s="67"/>
      <c r="H247" s="29"/>
      <c r="I247" s="29"/>
      <c r="J247" s="30"/>
      <c r="K247" s="30"/>
      <c r="L247" s="30"/>
      <c r="M247" s="30"/>
      <c r="N247" s="30"/>
      <c r="O247" s="30"/>
      <c r="P247" s="30"/>
      <c r="Q247" s="30"/>
    </row>
  </sheetData>
  <mergeCells count="3">
    <mergeCell ref="B5:D5"/>
    <mergeCell ref="E5:G5"/>
    <mergeCell ref="A2:I2"/>
  </mergeCells>
  <phoneticPr fontId="4" type="noConversion"/>
  <printOptions horizontalCentered="1" verticalCentered="1"/>
  <pageMargins left="0.78740157480314998" right="0.78740157480314998" top="0.98425196850393704" bottom="0.98425196850393704" header="0.511811023622047" footer="0.511811023622047"/>
  <pageSetup paperSize="9" scale="91"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22">
    <tabColor indexed="55"/>
    <outlinePr applyStyles="1" summaryBelow="0"/>
    <pageSetUpPr fitToPage="1"/>
  </sheetPr>
  <dimension ref="A2:U247"/>
  <sheetViews>
    <sheetView workbookViewId="0">
      <selection activeCell="C6" sqref="C6"/>
    </sheetView>
  </sheetViews>
  <sheetFormatPr defaultColWidth="9.109375" defaultRowHeight="13.8" outlineLevelRow="1" x14ac:dyDescent="0.3"/>
  <cols>
    <col min="1" max="1" width="63.33203125" style="26" bestFit="1" customWidth="1"/>
    <col min="2" max="3" width="14.33203125" style="27" customWidth="1"/>
    <col min="4" max="4" width="15.109375" style="27" customWidth="1"/>
    <col min="5" max="5" width="10.33203125" style="76" customWidth="1"/>
    <col min="6" max="6" width="8.88671875" style="26" hidden="1" customWidth="1"/>
    <col min="7" max="7" width="9.109375" style="26" customWidth="1"/>
    <col min="8" max="16384" width="9.109375" style="26"/>
  </cols>
  <sheetData>
    <row r="2" spans="1:21" ht="39" customHeight="1" x14ac:dyDescent="0.35">
      <c r="A2" s="294" t="str">
        <f>DEBT_BY_REPAYMENT</f>
        <v>Структура державного та гарантованого державою боргу
в розрізі термінів погашення</v>
      </c>
      <c r="B2" s="3"/>
      <c r="C2" s="3"/>
      <c r="D2" s="3"/>
      <c r="E2" s="3"/>
      <c r="F2" s="3"/>
      <c r="G2" s="30"/>
      <c r="H2" s="30"/>
      <c r="I2" s="30"/>
      <c r="J2" s="30"/>
      <c r="K2" s="30"/>
      <c r="L2" s="30"/>
      <c r="M2" s="30"/>
      <c r="N2" s="30"/>
      <c r="O2" s="30"/>
      <c r="P2" s="30"/>
      <c r="Q2" s="30"/>
      <c r="R2" s="30"/>
      <c r="S2" s="30"/>
      <c r="T2" s="30"/>
      <c r="U2" s="30"/>
    </row>
    <row r="3" spans="1:21" x14ac:dyDescent="0.3">
      <c r="A3" s="28"/>
    </row>
    <row r="4" spans="1:21" s="31" customFormat="1" x14ac:dyDescent="0.3">
      <c r="B4" s="32"/>
      <c r="C4" s="32"/>
      <c r="D4" s="32"/>
      <c r="E4" s="71" t="str">
        <f>VALVAL</f>
        <v>млрд. одиниць</v>
      </c>
    </row>
    <row r="5" spans="1:21" s="18" customFormat="1" x14ac:dyDescent="0.25">
      <c r="A5" s="16"/>
      <c r="B5" s="72" t="str">
        <f>USD</f>
        <v>дол. США</v>
      </c>
      <c r="C5" s="72" t="str">
        <f>EUR</f>
        <v>євро</v>
      </c>
      <c r="D5" s="72" t="str">
        <f>UAH</f>
        <v>грн.</v>
      </c>
      <c r="E5" s="73" t="s">
        <v>0</v>
      </c>
      <c r="F5" s="61" t="s">
        <v>92</v>
      </c>
    </row>
    <row r="6" spans="1:21" s="19" customFormat="1" ht="14.4" x14ac:dyDescent="0.25">
      <c r="A6" s="165" t="str">
        <f>DEBT_TOTAL</f>
        <v>Загальна сума державного та гарантованого державою боргу</v>
      </c>
      <c r="B6" s="47">
        <f>SUM(B$7+ B$8+ B$9)</f>
        <v>39.65351866009</v>
      </c>
      <c r="C6" s="47">
        <f>SUM(C$7+ C$8+ C$9)</f>
        <v>34.051088331229998</v>
      </c>
      <c r="D6" s="47">
        <f>SUM(D$7+ D$8+ D$9)</f>
        <v>1766.5840830488701</v>
      </c>
      <c r="E6" s="102">
        <f>SUM(E$7+ E$8+ E$9)</f>
        <v>0.18396399999999999</v>
      </c>
      <c r="F6" s="36" t="s">
        <v>110</v>
      </c>
    </row>
    <row r="7" spans="1:21" s="42" customFormat="1" outlineLevel="1" x14ac:dyDescent="0.25">
      <c r="A7" s="174" t="s">
        <v>111</v>
      </c>
      <c r="B7" s="180">
        <v>2.4152878490000002E-2</v>
      </c>
      <c r="C7" s="180">
        <v>2.0740449439999999E-2</v>
      </c>
      <c r="D7" s="180">
        <v>1.07602281299</v>
      </c>
      <c r="E7" s="244">
        <v>1.12E-4</v>
      </c>
      <c r="F7" s="107" t="s">
        <v>112</v>
      </c>
    </row>
    <row r="8" spans="1:21" s="42" customFormat="1" outlineLevel="1" x14ac:dyDescent="0.25">
      <c r="A8" s="174" t="s">
        <v>113</v>
      </c>
      <c r="B8" s="180">
        <v>3.6722678967400002</v>
      </c>
      <c r="C8" s="180">
        <v>3.1534331064300001</v>
      </c>
      <c r="D8" s="180">
        <v>163.60137093270001</v>
      </c>
      <c r="E8" s="244">
        <v>1.7037E-2</v>
      </c>
      <c r="F8" s="107" t="s">
        <v>112</v>
      </c>
    </row>
    <row r="9" spans="1:21" s="42" customFormat="1" outlineLevel="1" x14ac:dyDescent="0.25">
      <c r="A9" s="174" t="s">
        <v>114</v>
      </c>
      <c r="B9" s="180">
        <v>35.957097884859998</v>
      </c>
      <c r="C9" s="180">
        <v>30.87691477536</v>
      </c>
      <c r="D9" s="180">
        <v>1601.90668930318</v>
      </c>
      <c r="E9" s="244">
        <v>0.16681499999999999</v>
      </c>
      <c r="F9" s="107" t="s">
        <v>112</v>
      </c>
    </row>
    <row r="10" spans="1:21" outlineLevel="1" x14ac:dyDescent="0.3">
      <c r="A10" s="245" t="s">
        <v>115</v>
      </c>
      <c r="B10" s="190">
        <v>175.89721732976</v>
      </c>
      <c r="C10" s="190">
        <v>151.04565463347001</v>
      </c>
      <c r="D10" s="190">
        <v>7836.3089806521002</v>
      </c>
      <c r="E10" s="212">
        <v>0.81603599999999998</v>
      </c>
      <c r="F10" s="30"/>
      <c r="G10" s="30"/>
      <c r="H10" s="30"/>
      <c r="I10" s="30"/>
      <c r="J10" s="30"/>
      <c r="K10" s="30"/>
      <c r="L10" s="30"/>
      <c r="M10" s="30"/>
      <c r="N10" s="30"/>
      <c r="O10" s="30"/>
      <c r="P10" s="30"/>
      <c r="Q10" s="30"/>
      <c r="R10" s="30"/>
      <c r="S10" s="30"/>
    </row>
    <row r="11" spans="1:21" x14ac:dyDescent="0.3">
      <c r="B11" s="29"/>
      <c r="C11" s="29"/>
      <c r="D11" s="29"/>
      <c r="E11" s="67"/>
      <c r="F11" s="30"/>
      <c r="G11" s="30"/>
      <c r="H11" s="30"/>
      <c r="I11" s="30"/>
      <c r="J11" s="30"/>
      <c r="K11" s="30"/>
      <c r="L11" s="30"/>
      <c r="M11" s="30"/>
      <c r="N11" s="30"/>
      <c r="O11" s="30"/>
      <c r="P11" s="30"/>
      <c r="Q11" s="30"/>
      <c r="R11" s="30"/>
      <c r="S11" s="30"/>
    </row>
    <row r="12" spans="1:21" x14ac:dyDescent="0.3">
      <c r="B12" s="29"/>
      <c r="C12" s="29"/>
      <c r="D12" s="29"/>
      <c r="E12" s="67"/>
      <c r="F12" s="30"/>
      <c r="G12" s="30"/>
      <c r="H12" s="30"/>
      <c r="I12" s="30"/>
      <c r="J12" s="30"/>
      <c r="K12" s="30"/>
      <c r="L12" s="30"/>
      <c r="M12" s="30"/>
      <c r="N12" s="30"/>
      <c r="O12" s="30"/>
      <c r="P12" s="30"/>
      <c r="Q12" s="30"/>
      <c r="R12" s="30"/>
      <c r="S12" s="30"/>
    </row>
    <row r="13" spans="1:21" x14ac:dyDescent="0.3">
      <c r="B13" s="29"/>
      <c r="C13" s="29"/>
      <c r="D13" s="29"/>
      <c r="E13" s="67"/>
      <c r="F13" s="30"/>
      <c r="G13" s="30"/>
      <c r="H13" s="30"/>
      <c r="I13" s="30"/>
      <c r="J13" s="30"/>
      <c r="K13" s="30"/>
      <c r="L13" s="30"/>
      <c r="M13" s="30"/>
      <c r="N13" s="30"/>
      <c r="O13" s="30"/>
      <c r="P13" s="30"/>
      <c r="Q13" s="30"/>
      <c r="R13" s="30"/>
      <c r="S13" s="30"/>
    </row>
    <row r="14" spans="1:21" x14ac:dyDescent="0.3">
      <c r="B14" s="29"/>
      <c r="C14" s="29"/>
      <c r="D14" s="29"/>
      <c r="E14" s="67"/>
      <c r="F14" s="30"/>
      <c r="G14" s="30"/>
      <c r="H14" s="30"/>
      <c r="I14" s="30"/>
      <c r="J14" s="30"/>
      <c r="K14" s="30"/>
      <c r="L14" s="30"/>
      <c r="M14" s="30"/>
      <c r="N14" s="30"/>
      <c r="O14" s="30"/>
      <c r="P14" s="30"/>
      <c r="Q14" s="30"/>
      <c r="R14" s="30"/>
      <c r="S14" s="30"/>
    </row>
    <row r="15" spans="1:21" x14ac:dyDescent="0.3">
      <c r="B15" s="29"/>
      <c r="C15" s="29"/>
      <c r="D15" s="29"/>
      <c r="E15" s="67"/>
      <c r="F15" s="30"/>
      <c r="G15" s="30"/>
      <c r="H15" s="30"/>
      <c r="I15" s="30"/>
      <c r="J15" s="30"/>
      <c r="K15" s="30"/>
      <c r="L15" s="30"/>
      <c r="M15" s="30"/>
      <c r="N15" s="30"/>
      <c r="O15" s="30"/>
      <c r="P15" s="30"/>
      <c r="Q15" s="30"/>
      <c r="R15" s="30"/>
      <c r="S15" s="30"/>
    </row>
    <row r="16" spans="1:21" x14ac:dyDescent="0.3">
      <c r="B16" s="29"/>
      <c r="C16" s="29"/>
      <c r="D16" s="29"/>
      <c r="E16" s="67"/>
      <c r="F16" s="30"/>
      <c r="G16" s="30"/>
      <c r="H16" s="30"/>
      <c r="I16" s="30"/>
      <c r="J16" s="30"/>
      <c r="K16" s="30"/>
      <c r="L16" s="30"/>
      <c r="M16" s="30"/>
      <c r="N16" s="30"/>
      <c r="O16" s="30"/>
      <c r="P16" s="30"/>
      <c r="Q16" s="30"/>
      <c r="R16" s="30"/>
      <c r="S16" s="30"/>
    </row>
    <row r="17" spans="2:19" x14ac:dyDescent="0.3">
      <c r="B17" s="29"/>
      <c r="C17" s="29"/>
      <c r="D17" s="29"/>
      <c r="E17" s="67"/>
      <c r="F17" s="30"/>
      <c r="G17" s="30"/>
      <c r="H17" s="30"/>
      <c r="I17" s="30"/>
      <c r="J17" s="30"/>
      <c r="K17" s="30"/>
      <c r="L17" s="30"/>
      <c r="M17" s="30"/>
      <c r="N17" s="30"/>
      <c r="O17" s="30"/>
      <c r="P17" s="30"/>
      <c r="Q17" s="30"/>
      <c r="R17" s="30"/>
      <c r="S17" s="30"/>
    </row>
    <row r="18" spans="2:19" x14ac:dyDescent="0.3">
      <c r="B18" s="29"/>
      <c r="C18" s="29"/>
      <c r="D18" s="29"/>
      <c r="E18" s="67"/>
      <c r="F18" s="30"/>
      <c r="G18" s="30"/>
      <c r="H18" s="30"/>
      <c r="I18" s="30"/>
      <c r="J18" s="30"/>
      <c r="K18" s="30"/>
      <c r="L18" s="30"/>
      <c r="M18" s="30"/>
      <c r="N18" s="30"/>
      <c r="O18" s="30"/>
      <c r="P18" s="30"/>
      <c r="Q18" s="30"/>
      <c r="R18" s="30"/>
      <c r="S18" s="30"/>
    </row>
    <row r="19" spans="2:19" x14ac:dyDescent="0.3">
      <c r="B19" s="29"/>
      <c r="C19" s="29"/>
      <c r="D19" s="29"/>
      <c r="E19" s="67"/>
      <c r="F19" s="30"/>
      <c r="G19" s="30"/>
      <c r="H19" s="30"/>
      <c r="I19" s="30"/>
      <c r="J19" s="30"/>
      <c r="K19" s="30"/>
      <c r="L19" s="30"/>
      <c r="M19" s="30"/>
      <c r="N19" s="30"/>
      <c r="O19" s="30"/>
      <c r="P19" s="30"/>
      <c r="Q19" s="30"/>
      <c r="R19" s="30"/>
      <c r="S19" s="30"/>
    </row>
    <row r="20" spans="2:19" x14ac:dyDescent="0.3">
      <c r="B20" s="29"/>
      <c r="C20" s="29"/>
      <c r="D20" s="29"/>
      <c r="E20" s="67"/>
      <c r="F20" s="30"/>
      <c r="G20" s="30"/>
      <c r="H20" s="30"/>
      <c r="I20" s="30"/>
      <c r="J20" s="30"/>
      <c r="K20" s="30"/>
      <c r="L20" s="30"/>
      <c r="M20" s="30"/>
      <c r="N20" s="30"/>
      <c r="O20" s="30"/>
      <c r="P20" s="30"/>
      <c r="Q20" s="30"/>
      <c r="R20" s="30"/>
      <c r="S20" s="30"/>
    </row>
    <row r="21" spans="2:19" x14ac:dyDescent="0.3">
      <c r="B21" s="29"/>
      <c r="C21" s="29"/>
      <c r="D21" s="29"/>
      <c r="E21" s="67"/>
      <c r="F21" s="30"/>
      <c r="G21" s="30"/>
      <c r="H21" s="30"/>
      <c r="I21" s="30"/>
      <c r="J21" s="30"/>
      <c r="K21" s="30"/>
      <c r="L21" s="30"/>
      <c r="M21" s="30"/>
      <c r="N21" s="30"/>
      <c r="O21" s="30"/>
      <c r="P21" s="30"/>
      <c r="Q21" s="30"/>
      <c r="R21" s="30"/>
      <c r="S21" s="30"/>
    </row>
    <row r="22" spans="2:19" x14ac:dyDescent="0.3">
      <c r="B22" s="29"/>
      <c r="C22" s="29"/>
      <c r="D22" s="29"/>
      <c r="E22" s="67"/>
      <c r="F22" s="30"/>
      <c r="G22" s="30"/>
      <c r="H22" s="30"/>
      <c r="I22" s="30"/>
      <c r="J22" s="30"/>
      <c r="K22" s="30"/>
      <c r="L22" s="30"/>
      <c r="M22" s="30"/>
      <c r="N22" s="30"/>
      <c r="O22" s="30"/>
      <c r="P22" s="30"/>
      <c r="Q22" s="30"/>
      <c r="R22" s="30"/>
      <c r="S22" s="30"/>
    </row>
    <row r="23" spans="2:19" x14ac:dyDescent="0.3">
      <c r="B23" s="29"/>
      <c r="C23" s="29"/>
      <c r="D23" s="29"/>
      <c r="E23" s="67"/>
      <c r="F23" s="30"/>
      <c r="G23" s="30"/>
      <c r="H23" s="30"/>
      <c r="I23" s="30"/>
      <c r="J23" s="30"/>
      <c r="K23" s="30"/>
      <c r="L23" s="30"/>
      <c r="M23" s="30"/>
      <c r="N23" s="30"/>
      <c r="O23" s="30"/>
      <c r="P23" s="30"/>
      <c r="Q23" s="30"/>
      <c r="R23" s="30"/>
      <c r="S23" s="30"/>
    </row>
    <row r="24" spans="2:19" x14ac:dyDescent="0.3">
      <c r="B24" s="29"/>
      <c r="C24" s="29"/>
      <c r="D24" s="29"/>
      <c r="E24" s="67"/>
      <c r="F24" s="30"/>
      <c r="G24" s="30"/>
      <c r="H24" s="30"/>
      <c r="I24" s="30"/>
      <c r="J24" s="30"/>
      <c r="K24" s="30"/>
      <c r="L24" s="30"/>
      <c r="M24" s="30"/>
      <c r="N24" s="30"/>
      <c r="O24" s="30"/>
      <c r="P24" s="30"/>
      <c r="Q24" s="30"/>
      <c r="R24" s="30"/>
      <c r="S24" s="30"/>
    </row>
    <row r="25" spans="2:19" x14ac:dyDescent="0.3">
      <c r="B25" s="29"/>
      <c r="C25" s="29"/>
      <c r="D25" s="29"/>
      <c r="E25" s="67"/>
      <c r="F25" s="30"/>
      <c r="G25" s="30"/>
      <c r="H25" s="30"/>
      <c r="I25" s="30"/>
      <c r="J25" s="30"/>
      <c r="K25" s="30"/>
      <c r="L25" s="30"/>
      <c r="M25" s="30"/>
      <c r="N25" s="30"/>
      <c r="O25" s="30"/>
      <c r="P25" s="30"/>
      <c r="Q25" s="30"/>
      <c r="R25" s="30"/>
      <c r="S25" s="30"/>
    </row>
    <row r="26" spans="2:19" x14ac:dyDescent="0.3">
      <c r="B26" s="29"/>
      <c r="C26" s="29"/>
      <c r="D26" s="29"/>
      <c r="E26" s="67"/>
      <c r="F26" s="30"/>
      <c r="G26" s="30"/>
      <c r="H26" s="30"/>
      <c r="I26" s="30"/>
      <c r="J26" s="30"/>
      <c r="K26" s="30"/>
      <c r="L26" s="30"/>
      <c r="M26" s="30"/>
      <c r="N26" s="30"/>
      <c r="O26" s="30"/>
      <c r="P26" s="30"/>
      <c r="Q26" s="30"/>
      <c r="R26" s="30"/>
      <c r="S26" s="30"/>
    </row>
    <row r="27" spans="2:19" x14ac:dyDescent="0.3">
      <c r="B27" s="29"/>
      <c r="C27" s="29"/>
      <c r="D27" s="29"/>
      <c r="E27" s="67"/>
      <c r="F27" s="30"/>
      <c r="G27" s="30"/>
      <c r="H27" s="30"/>
      <c r="I27" s="30"/>
      <c r="J27" s="30"/>
      <c r="K27" s="30"/>
      <c r="L27" s="30"/>
      <c r="M27" s="30"/>
      <c r="N27" s="30"/>
      <c r="O27" s="30"/>
      <c r="P27" s="30"/>
      <c r="Q27" s="30"/>
      <c r="R27" s="30"/>
      <c r="S27" s="30"/>
    </row>
    <row r="28" spans="2:19" x14ac:dyDescent="0.3">
      <c r="B28" s="29"/>
      <c r="C28" s="29"/>
      <c r="D28" s="29"/>
      <c r="E28" s="67"/>
      <c r="F28" s="30"/>
      <c r="G28" s="30"/>
      <c r="H28" s="30"/>
      <c r="I28" s="30"/>
      <c r="J28" s="30"/>
      <c r="K28" s="30"/>
      <c r="L28" s="30"/>
      <c r="M28" s="30"/>
      <c r="N28" s="30"/>
      <c r="O28" s="30"/>
      <c r="P28" s="30"/>
      <c r="Q28" s="30"/>
      <c r="R28" s="30"/>
      <c r="S28" s="30"/>
    </row>
    <row r="29" spans="2:19" x14ac:dyDescent="0.3">
      <c r="B29" s="29"/>
      <c r="C29" s="29"/>
      <c r="D29" s="29"/>
      <c r="E29" s="67"/>
      <c r="F29" s="30"/>
      <c r="G29" s="30"/>
      <c r="H29" s="30"/>
      <c r="I29" s="30"/>
      <c r="J29" s="30"/>
      <c r="K29" s="30"/>
      <c r="L29" s="30"/>
      <c r="M29" s="30"/>
      <c r="N29" s="30"/>
      <c r="O29" s="30"/>
      <c r="P29" s="30"/>
      <c r="Q29" s="30"/>
      <c r="R29" s="30"/>
      <c r="S29" s="30"/>
    </row>
    <row r="30" spans="2:19" x14ac:dyDescent="0.3">
      <c r="B30" s="29"/>
      <c r="C30" s="29"/>
      <c r="D30" s="29"/>
      <c r="E30" s="67"/>
      <c r="F30" s="30"/>
      <c r="G30" s="30"/>
      <c r="H30" s="30"/>
      <c r="I30" s="30"/>
      <c r="J30" s="30"/>
      <c r="K30" s="30"/>
      <c r="L30" s="30"/>
      <c r="M30" s="30"/>
      <c r="N30" s="30"/>
      <c r="O30" s="30"/>
      <c r="P30" s="30"/>
      <c r="Q30" s="30"/>
      <c r="R30" s="30"/>
      <c r="S30" s="30"/>
    </row>
    <row r="31" spans="2:19" x14ac:dyDescent="0.3">
      <c r="B31" s="29"/>
      <c r="C31" s="29"/>
      <c r="D31" s="29"/>
      <c r="E31" s="67"/>
      <c r="F31" s="30"/>
      <c r="G31" s="30"/>
      <c r="H31" s="30"/>
      <c r="I31" s="30"/>
      <c r="J31" s="30"/>
      <c r="K31" s="30"/>
      <c r="L31" s="30"/>
      <c r="M31" s="30"/>
      <c r="N31" s="30"/>
      <c r="O31" s="30"/>
      <c r="P31" s="30"/>
      <c r="Q31" s="30"/>
      <c r="R31" s="30"/>
      <c r="S31" s="30"/>
    </row>
    <row r="32" spans="2:19" x14ac:dyDescent="0.3">
      <c r="B32" s="29"/>
      <c r="C32" s="29"/>
      <c r="D32" s="29"/>
      <c r="E32" s="67"/>
      <c r="F32" s="30"/>
      <c r="G32" s="30"/>
      <c r="H32" s="30"/>
      <c r="I32" s="30"/>
      <c r="J32" s="30"/>
      <c r="K32" s="30"/>
      <c r="L32" s="30"/>
      <c r="M32" s="30"/>
      <c r="N32" s="30"/>
      <c r="O32" s="30"/>
      <c r="P32" s="30"/>
      <c r="Q32" s="30"/>
      <c r="R32" s="30"/>
      <c r="S32" s="30"/>
    </row>
    <row r="33" spans="2:19" x14ac:dyDescent="0.3">
      <c r="B33" s="29"/>
      <c r="C33" s="29"/>
      <c r="D33" s="29"/>
      <c r="E33" s="67"/>
      <c r="F33" s="30"/>
      <c r="G33" s="30"/>
      <c r="H33" s="30"/>
      <c r="I33" s="30"/>
      <c r="J33" s="30"/>
      <c r="K33" s="30"/>
      <c r="L33" s="30"/>
      <c r="M33" s="30"/>
      <c r="N33" s="30"/>
      <c r="O33" s="30"/>
      <c r="P33" s="30"/>
      <c r="Q33" s="30"/>
      <c r="R33" s="30"/>
      <c r="S33" s="30"/>
    </row>
    <row r="34" spans="2:19" x14ac:dyDescent="0.3">
      <c r="B34" s="29"/>
      <c r="C34" s="29"/>
      <c r="D34" s="29"/>
      <c r="E34" s="67"/>
      <c r="F34" s="30"/>
      <c r="G34" s="30"/>
      <c r="H34" s="30"/>
      <c r="I34" s="30"/>
      <c r="J34" s="30"/>
      <c r="K34" s="30"/>
      <c r="L34" s="30"/>
      <c r="M34" s="30"/>
      <c r="N34" s="30"/>
      <c r="O34" s="30"/>
      <c r="P34" s="30"/>
      <c r="Q34" s="30"/>
      <c r="R34" s="30"/>
      <c r="S34" s="30"/>
    </row>
    <row r="35" spans="2:19" x14ac:dyDescent="0.3">
      <c r="B35" s="29"/>
      <c r="C35" s="29"/>
      <c r="D35" s="29"/>
      <c r="E35" s="67"/>
      <c r="F35" s="30"/>
      <c r="G35" s="30"/>
      <c r="H35" s="30"/>
      <c r="I35" s="30"/>
      <c r="J35" s="30"/>
      <c r="K35" s="30"/>
      <c r="L35" s="30"/>
      <c r="M35" s="30"/>
      <c r="N35" s="30"/>
      <c r="O35" s="30"/>
      <c r="P35" s="30"/>
      <c r="Q35" s="30"/>
      <c r="R35" s="30"/>
      <c r="S35" s="30"/>
    </row>
    <row r="36" spans="2:19" x14ac:dyDescent="0.3">
      <c r="B36" s="29"/>
      <c r="C36" s="29"/>
      <c r="D36" s="29"/>
      <c r="E36" s="67"/>
      <c r="F36" s="30"/>
      <c r="G36" s="30"/>
      <c r="H36" s="30"/>
      <c r="I36" s="30"/>
      <c r="J36" s="30"/>
      <c r="K36" s="30"/>
      <c r="L36" s="30"/>
      <c r="M36" s="30"/>
      <c r="N36" s="30"/>
      <c r="O36" s="30"/>
      <c r="P36" s="30"/>
      <c r="Q36" s="30"/>
      <c r="R36" s="30"/>
      <c r="S36" s="30"/>
    </row>
    <row r="37" spans="2:19" x14ac:dyDescent="0.3">
      <c r="B37" s="29"/>
      <c r="C37" s="29"/>
      <c r="D37" s="29"/>
      <c r="E37" s="67"/>
      <c r="F37" s="30"/>
      <c r="G37" s="30"/>
      <c r="H37" s="30"/>
      <c r="I37" s="30"/>
      <c r="J37" s="30"/>
      <c r="K37" s="30"/>
      <c r="L37" s="30"/>
      <c r="M37" s="30"/>
      <c r="N37" s="30"/>
      <c r="O37" s="30"/>
      <c r="P37" s="30"/>
      <c r="Q37" s="30"/>
      <c r="R37" s="30"/>
      <c r="S37" s="30"/>
    </row>
    <row r="38" spans="2:19" x14ac:dyDescent="0.3">
      <c r="B38" s="29"/>
      <c r="C38" s="29"/>
      <c r="D38" s="29"/>
      <c r="E38" s="67"/>
      <c r="F38" s="30"/>
      <c r="G38" s="30"/>
      <c r="H38" s="30"/>
      <c r="I38" s="30"/>
      <c r="J38" s="30"/>
      <c r="K38" s="30"/>
      <c r="L38" s="30"/>
      <c r="M38" s="30"/>
      <c r="N38" s="30"/>
      <c r="O38" s="30"/>
      <c r="P38" s="30"/>
      <c r="Q38" s="30"/>
      <c r="R38" s="30"/>
      <c r="S38" s="30"/>
    </row>
    <row r="39" spans="2:19" x14ac:dyDescent="0.3">
      <c r="B39" s="29"/>
      <c r="C39" s="29"/>
      <c r="D39" s="29"/>
      <c r="E39" s="67"/>
      <c r="F39" s="30"/>
      <c r="G39" s="30"/>
      <c r="H39" s="30"/>
      <c r="I39" s="30"/>
      <c r="J39" s="30"/>
      <c r="K39" s="30"/>
      <c r="L39" s="30"/>
      <c r="M39" s="30"/>
      <c r="N39" s="30"/>
      <c r="O39" s="30"/>
      <c r="P39" s="30"/>
      <c r="Q39" s="30"/>
      <c r="R39" s="30"/>
      <c r="S39" s="30"/>
    </row>
    <row r="40" spans="2:19" x14ac:dyDescent="0.3">
      <c r="B40" s="29"/>
      <c r="C40" s="29"/>
      <c r="D40" s="29"/>
      <c r="E40" s="67"/>
      <c r="F40" s="30"/>
      <c r="G40" s="30"/>
      <c r="H40" s="30"/>
      <c r="I40" s="30"/>
      <c r="J40" s="30"/>
      <c r="K40" s="30"/>
      <c r="L40" s="30"/>
      <c r="M40" s="30"/>
      <c r="N40" s="30"/>
      <c r="O40" s="30"/>
      <c r="P40" s="30"/>
      <c r="Q40" s="30"/>
      <c r="R40" s="30"/>
      <c r="S40" s="30"/>
    </row>
    <row r="41" spans="2:19" x14ac:dyDescent="0.3">
      <c r="B41" s="29"/>
      <c r="C41" s="29"/>
      <c r="D41" s="29"/>
      <c r="E41" s="67"/>
      <c r="F41" s="30"/>
      <c r="G41" s="30"/>
      <c r="H41" s="30"/>
      <c r="I41" s="30"/>
      <c r="J41" s="30"/>
      <c r="K41" s="30"/>
      <c r="L41" s="30"/>
      <c r="M41" s="30"/>
      <c r="N41" s="30"/>
      <c r="O41" s="30"/>
      <c r="P41" s="30"/>
      <c r="Q41" s="30"/>
      <c r="R41" s="30"/>
      <c r="S41" s="30"/>
    </row>
    <row r="42" spans="2:19" x14ac:dyDescent="0.3">
      <c r="B42" s="29"/>
      <c r="C42" s="29"/>
      <c r="D42" s="29"/>
      <c r="E42" s="67"/>
      <c r="F42" s="30"/>
      <c r="G42" s="30"/>
      <c r="H42" s="30"/>
      <c r="I42" s="30"/>
      <c r="J42" s="30"/>
      <c r="K42" s="30"/>
      <c r="L42" s="30"/>
      <c r="M42" s="30"/>
      <c r="N42" s="30"/>
      <c r="O42" s="30"/>
      <c r="P42" s="30"/>
      <c r="Q42" s="30"/>
      <c r="R42" s="30"/>
      <c r="S42" s="30"/>
    </row>
    <row r="43" spans="2:19" x14ac:dyDescent="0.3">
      <c r="B43" s="29"/>
      <c r="C43" s="29"/>
      <c r="D43" s="29"/>
      <c r="E43" s="67"/>
      <c r="F43" s="30"/>
      <c r="G43" s="30"/>
      <c r="H43" s="30"/>
      <c r="I43" s="30"/>
      <c r="J43" s="30"/>
      <c r="K43" s="30"/>
      <c r="L43" s="30"/>
      <c r="M43" s="30"/>
      <c r="N43" s="30"/>
      <c r="O43" s="30"/>
      <c r="P43" s="30"/>
      <c r="Q43" s="30"/>
      <c r="R43" s="30"/>
      <c r="S43" s="30"/>
    </row>
    <row r="44" spans="2:19" x14ac:dyDescent="0.3">
      <c r="B44" s="29"/>
      <c r="C44" s="29"/>
      <c r="D44" s="29"/>
      <c r="E44" s="67"/>
      <c r="F44" s="30"/>
      <c r="G44" s="30"/>
      <c r="H44" s="30"/>
      <c r="I44" s="30"/>
      <c r="J44" s="30"/>
      <c r="K44" s="30"/>
      <c r="L44" s="30"/>
      <c r="M44" s="30"/>
      <c r="N44" s="30"/>
      <c r="O44" s="30"/>
      <c r="P44" s="30"/>
      <c r="Q44" s="30"/>
      <c r="R44" s="30"/>
      <c r="S44" s="30"/>
    </row>
    <row r="45" spans="2:19" x14ac:dyDescent="0.3">
      <c r="B45" s="29"/>
      <c r="C45" s="29"/>
      <c r="D45" s="29"/>
      <c r="E45" s="67"/>
      <c r="F45" s="30"/>
      <c r="G45" s="30"/>
      <c r="H45" s="30"/>
      <c r="I45" s="30"/>
      <c r="J45" s="30"/>
      <c r="K45" s="30"/>
      <c r="L45" s="30"/>
      <c r="M45" s="30"/>
      <c r="N45" s="30"/>
      <c r="O45" s="30"/>
      <c r="P45" s="30"/>
      <c r="Q45" s="30"/>
      <c r="R45" s="30"/>
      <c r="S45" s="30"/>
    </row>
    <row r="46" spans="2:19" x14ac:dyDescent="0.3">
      <c r="B46" s="29"/>
      <c r="C46" s="29"/>
      <c r="D46" s="29"/>
      <c r="E46" s="67"/>
      <c r="F46" s="30"/>
      <c r="G46" s="30"/>
      <c r="H46" s="30"/>
      <c r="I46" s="30"/>
      <c r="J46" s="30"/>
      <c r="K46" s="30"/>
      <c r="L46" s="30"/>
      <c r="M46" s="30"/>
      <c r="N46" s="30"/>
      <c r="O46" s="30"/>
      <c r="P46" s="30"/>
      <c r="Q46" s="30"/>
      <c r="R46" s="30"/>
      <c r="S46" s="30"/>
    </row>
    <row r="47" spans="2:19" x14ac:dyDescent="0.3">
      <c r="B47" s="29"/>
      <c r="C47" s="29"/>
      <c r="D47" s="29"/>
      <c r="E47" s="67"/>
      <c r="F47" s="30"/>
      <c r="G47" s="30"/>
      <c r="H47" s="30"/>
      <c r="I47" s="30"/>
      <c r="J47" s="30"/>
      <c r="K47" s="30"/>
      <c r="L47" s="30"/>
      <c r="M47" s="30"/>
      <c r="N47" s="30"/>
      <c r="O47" s="30"/>
      <c r="P47" s="30"/>
      <c r="Q47" s="30"/>
      <c r="R47" s="30"/>
      <c r="S47" s="30"/>
    </row>
    <row r="48" spans="2:19" x14ac:dyDescent="0.3">
      <c r="B48" s="29"/>
      <c r="C48" s="29"/>
      <c r="D48" s="29"/>
      <c r="E48" s="67"/>
      <c r="F48" s="30"/>
      <c r="G48" s="30"/>
      <c r="H48" s="30"/>
      <c r="I48" s="30"/>
      <c r="J48" s="30"/>
      <c r="K48" s="30"/>
      <c r="L48" s="30"/>
      <c r="M48" s="30"/>
      <c r="N48" s="30"/>
      <c r="O48" s="30"/>
      <c r="P48" s="30"/>
      <c r="Q48" s="30"/>
      <c r="R48" s="30"/>
      <c r="S48" s="30"/>
    </row>
    <row r="49" spans="2:19" x14ac:dyDescent="0.3">
      <c r="B49" s="29"/>
      <c r="C49" s="29"/>
      <c r="D49" s="29"/>
      <c r="E49" s="67"/>
      <c r="F49" s="30"/>
      <c r="G49" s="30"/>
      <c r="H49" s="30"/>
      <c r="I49" s="30"/>
      <c r="J49" s="30"/>
      <c r="K49" s="30"/>
      <c r="L49" s="30"/>
      <c r="M49" s="30"/>
      <c r="N49" s="30"/>
      <c r="O49" s="30"/>
      <c r="P49" s="30"/>
      <c r="Q49" s="30"/>
      <c r="R49" s="30"/>
      <c r="S49" s="30"/>
    </row>
    <row r="50" spans="2:19" x14ac:dyDescent="0.3">
      <c r="B50" s="29"/>
      <c r="C50" s="29"/>
      <c r="D50" s="29"/>
      <c r="E50" s="67"/>
      <c r="F50" s="30"/>
      <c r="G50" s="30"/>
      <c r="H50" s="30"/>
      <c r="I50" s="30"/>
      <c r="J50" s="30"/>
      <c r="K50" s="30"/>
      <c r="L50" s="30"/>
      <c r="M50" s="30"/>
      <c r="N50" s="30"/>
      <c r="O50" s="30"/>
      <c r="P50" s="30"/>
      <c r="Q50" s="30"/>
      <c r="R50" s="30"/>
      <c r="S50" s="30"/>
    </row>
    <row r="51" spans="2:19" x14ac:dyDescent="0.3">
      <c r="B51" s="29"/>
      <c r="C51" s="29"/>
      <c r="D51" s="29"/>
      <c r="E51" s="67"/>
      <c r="F51" s="30"/>
      <c r="G51" s="30"/>
      <c r="H51" s="30"/>
      <c r="I51" s="30"/>
      <c r="J51" s="30"/>
      <c r="K51" s="30"/>
      <c r="L51" s="30"/>
      <c r="M51" s="30"/>
      <c r="N51" s="30"/>
      <c r="O51" s="30"/>
      <c r="P51" s="30"/>
      <c r="Q51" s="30"/>
      <c r="R51" s="30"/>
      <c r="S51" s="30"/>
    </row>
    <row r="52" spans="2:19" x14ac:dyDescent="0.3">
      <c r="B52" s="29"/>
      <c r="C52" s="29"/>
      <c r="D52" s="29"/>
      <c r="E52" s="67"/>
      <c r="F52" s="30"/>
      <c r="G52" s="30"/>
      <c r="H52" s="30"/>
      <c r="I52" s="30"/>
      <c r="J52" s="30"/>
      <c r="K52" s="30"/>
      <c r="L52" s="30"/>
      <c r="M52" s="30"/>
      <c r="N52" s="30"/>
      <c r="O52" s="30"/>
      <c r="P52" s="30"/>
      <c r="Q52" s="30"/>
      <c r="R52" s="30"/>
      <c r="S52" s="30"/>
    </row>
    <row r="53" spans="2:19" x14ac:dyDescent="0.3">
      <c r="B53" s="29"/>
      <c r="C53" s="29"/>
      <c r="D53" s="29"/>
      <c r="E53" s="67"/>
      <c r="F53" s="30"/>
      <c r="G53" s="30"/>
      <c r="H53" s="30"/>
      <c r="I53" s="30"/>
      <c r="J53" s="30"/>
      <c r="K53" s="30"/>
      <c r="L53" s="30"/>
      <c r="M53" s="30"/>
      <c r="N53" s="30"/>
      <c r="O53" s="30"/>
      <c r="P53" s="30"/>
      <c r="Q53" s="30"/>
      <c r="R53" s="30"/>
      <c r="S53" s="30"/>
    </row>
    <row r="54" spans="2:19" x14ac:dyDescent="0.3">
      <c r="B54" s="29"/>
      <c r="C54" s="29"/>
      <c r="D54" s="29"/>
      <c r="E54" s="67"/>
      <c r="F54" s="30"/>
      <c r="G54" s="30"/>
      <c r="H54" s="30"/>
      <c r="I54" s="30"/>
      <c r="J54" s="30"/>
      <c r="K54" s="30"/>
      <c r="L54" s="30"/>
      <c r="M54" s="30"/>
      <c r="N54" s="30"/>
      <c r="O54" s="30"/>
      <c r="P54" s="30"/>
      <c r="Q54" s="30"/>
      <c r="R54" s="30"/>
      <c r="S54" s="30"/>
    </row>
    <row r="55" spans="2:19" x14ac:dyDescent="0.3">
      <c r="B55" s="29"/>
      <c r="C55" s="29"/>
      <c r="D55" s="29"/>
      <c r="E55" s="67"/>
      <c r="F55" s="30"/>
      <c r="G55" s="30"/>
      <c r="H55" s="30"/>
      <c r="I55" s="30"/>
      <c r="J55" s="30"/>
      <c r="K55" s="30"/>
      <c r="L55" s="30"/>
      <c r="M55" s="30"/>
      <c r="N55" s="30"/>
      <c r="O55" s="30"/>
      <c r="P55" s="30"/>
      <c r="Q55" s="30"/>
      <c r="R55" s="30"/>
      <c r="S55" s="30"/>
    </row>
    <row r="56" spans="2:19" x14ac:dyDescent="0.3">
      <c r="B56" s="29"/>
      <c r="C56" s="29"/>
      <c r="D56" s="29"/>
      <c r="E56" s="67"/>
      <c r="F56" s="30"/>
      <c r="G56" s="30"/>
      <c r="H56" s="30"/>
      <c r="I56" s="30"/>
      <c r="J56" s="30"/>
      <c r="K56" s="30"/>
      <c r="L56" s="30"/>
      <c r="M56" s="30"/>
      <c r="N56" s="30"/>
      <c r="O56" s="30"/>
      <c r="P56" s="30"/>
      <c r="Q56" s="30"/>
      <c r="R56" s="30"/>
      <c r="S56" s="30"/>
    </row>
    <row r="57" spans="2:19" x14ac:dyDescent="0.3">
      <c r="B57" s="29"/>
      <c r="C57" s="29"/>
      <c r="D57" s="29"/>
      <c r="E57" s="67"/>
      <c r="F57" s="30"/>
      <c r="G57" s="30"/>
      <c r="H57" s="30"/>
      <c r="I57" s="30"/>
      <c r="J57" s="30"/>
      <c r="K57" s="30"/>
      <c r="L57" s="30"/>
      <c r="M57" s="30"/>
      <c r="N57" s="30"/>
      <c r="O57" s="30"/>
      <c r="P57" s="30"/>
      <c r="Q57" s="30"/>
      <c r="R57" s="30"/>
      <c r="S57" s="30"/>
    </row>
    <row r="58" spans="2:19" x14ac:dyDescent="0.3">
      <c r="B58" s="29"/>
      <c r="C58" s="29"/>
      <c r="D58" s="29"/>
      <c r="E58" s="67"/>
      <c r="F58" s="30"/>
      <c r="G58" s="30"/>
      <c r="H58" s="30"/>
      <c r="I58" s="30"/>
      <c r="J58" s="30"/>
      <c r="K58" s="30"/>
      <c r="L58" s="30"/>
      <c r="M58" s="30"/>
      <c r="N58" s="30"/>
      <c r="O58" s="30"/>
      <c r="P58" s="30"/>
      <c r="Q58" s="30"/>
      <c r="R58" s="30"/>
      <c r="S58" s="30"/>
    </row>
    <row r="59" spans="2:19" x14ac:dyDescent="0.3">
      <c r="B59" s="29"/>
      <c r="C59" s="29"/>
      <c r="D59" s="29"/>
      <c r="E59" s="67"/>
      <c r="F59" s="30"/>
      <c r="G59" s="30"/>
      <c r="H59" s="30"/>
      <c r="I59" s="30"/>
      <c r="J59" s="30"/>
      <c r="K59" s="30"/>
      <c r="L59" s="30"/>
      <c r="M59" s="30"/>
      <c r="N59" s="30"/>
      <c r="O59" s="30"/>
      <c r="P59" s="30"/>
      <c r="Q59" s="30"/>
      <c r="R59" s="30"/>
      <c r="S59" s="30"/>
    </row>
    <row r="60" spans="2:19" x14ac:dyDescent="0.3">
      <c r="B60" s="29"/>
      <c r="C60" s="29"/>
      <c r="D60" s="29"/>
      <c r="E60" s="67"/>
      <c r="F60" s="30"/>
      <c r="G60" s="30"/>
      <c r="H60" s="30"/>
      <c r="I60" s="30"/>
      <c r="J60" s="30"/>
      <c r="K60" s="30"/>
      <c r="L60" s="30"/>
      <c r="M60" s="30"/>
      <c r="N60" s="30"/>
      <c r="O60" s="30"/>
      <c r="P60" s="30"/>
      <c r="Q60" s="30"/>
      <c r="R60" s="30"/>
      <c r="S60" s="30"/>
    </row>
    <row r="61" spans="2:19" x14ac:dyDescent="0.3">
      <c r="B61" s="29"/>
      <c r="C61" s="29"/>
      <c r="D61" s="29"/>
      <c r="E61" s="67"/>
      <c r="F61" s="30"/>
      <c r="G61" s="30"/>
      <c r="H61" s="30"/>
      <c r="I61" s="30"/>
      <c r="J61" s="30"/>
      <c r="K61" s="30"/>
      <c r="L61" s="30"/>
      <c r="M61" s="30"/>
      <c r="N61" s="30"/>
      <c r="O61" s="30"/>
      <c r="P61" s="30"/>
      <c r="Q61" s="30"/>
      <c r="R61" s="30"/>
      <c r="S61" s="30"/>
    </row>
    <row r="62" spans="2:19" x14ac:dyDescent="0.3">
      <c r="B62" s="29"/>
      <c r="C62" s="29"/>
      <c r="D62" s="29"/>
      <c r="E62" s="67"/>
      <c r="F62" s="30"/>
      <c r="G62" s="30"/>
      <c r="H62" s="30"/>
      <c r="I62" s="30"/>
      <c r="J62" s="30"/>
      <c r="K62" s="30"/>
      <c r="L62" s="30"/>
      <c r="M62" s="30"/>
      <c r="N62" s="30"/>
      <c r="O62" s="30"/>
      <c r="P62" s="30"/>
      <c r="Q62" s="30"/>
      <c r="R62" s="30"/>
      <c r="S62" s="30"/>
    </row>
    <row r="63" spans="2:19" x14ac:dyDescent="0.3">
      <c r="B63" s="29"/>
      <c r="C63" s="29"/>
      <c r="D63" s="29"/>
      <c r="E63" s="67"/>
      <c r="F63" s="30"/>
      <c r="G63" s="30"/>
      <c r="H63" s="30"/>
      <c r="I63" s="30"/>
      <c r="J63" s="30"/>
      <c r="K63" s="30"/>
      <c r="L63" s="30"/>
      <c r="M63" s="30"/>
      <c r="N63" s="30"/>
      <c r="O63" s="30"/>
      <c r="P63" s="30"/>
      <c r="Q63" s="30"/>
      <c r="R63" s="30"/>
      <c r="S63" s="30"/>
    </row>
    <row r="64" spans="2:19" x14ac:dyDescent="0.3">
      <c r="B64" s="29"/>
      <c r="C64" s="29"/>
      <c r="D64" s="29"/>
      <c r="E64" s="67"/>
      <c r="F64" s="30"/>
      <c r="G64" s="30"/>
      <c r="H64" s="30"/>
      <c r="I64" s="30"/>
      <c r="J64" s="30"/>
      <c r="K64" s="30"/>
      <c r="L64" s="30"/>
      <c r="M64" s="30"/>
      <c r="N64" s="30"/>
      <c r="O64" s="30"/>
      <c r="P64" s="30"/>
      <c r="Q64" s="30"/>
      <c r="R64" s="30"/>
      <c r="S64" s="30"/>
    </row>
    <row r="65" spans="2:19" x14ac:dyDescent="0.3">
      <c r="B65" s="29"/>
      <c r="C65" s="29"/>
      <c r="D65" s="29"/>
      <c r="E65" s="67"/>
      <c r="F65" s="30"/>
      <c r="G65" s="30"/>
      <c r="H65" s="30"/>
      <c r="I65" s="30"/>
      <c r="J65" s="30"/>
      <c r="K65" s="30"/>
      <c r="L65" s="30"/>
      <c r="M65" s="30"/>
      <c r="N65" s="30"/>
      <c r="O65" s="30"/>
      <c r="P65" s="30"/>
      <c r="Q65" s="30"/>
      <c r="R65" s="30"/>
      <c r="S65" s="30"/>
    </row>
    <row r="66" spans="2:19" x14ac:dyDescent="0.3">
      <c r="B66" s="29"/>
      <c r="C66" s="29"/>
      <c r="D66" s="29"/>
      <c r="E66" s="67"/>
      <c r="F66" s="30"/>
      <c r="G66" s="30"/>
      <c r="H66" s="30"/>
      <c r="I66" s="30"/>
      <c r="J66" s="30"/>
      <c r="K66" s="30"/>
      <c r="L66" s="30"/>
      <c r="M66" s="30"/>
      <c r="N66" s="30"/>
      <c r="O66" s="30"/>
      <c r="P66" s="30"/>
      <c r="Q66" s="30"/>
      <c r="R66" s="30"/>
      <c r="S66" s="30"/>
    </row>
    <row r="67" spans="2:19" x14ac:dyDescent="0.3">
      <c r="B67" s="29"/>
      <c r="C67" s="29"/>
      <c r="D67" s="29"/>
      <c r="E67" s="67"/>
      <c r="F67" s="30"/>
      <c r="G67" s="30"/>
      <c r="H67" s="30"/>
      <c r="I67" s="30"/>
      <c r="J67" s="30"/>
      <c r="K67" s="30"/>
      <c r="L67" s="30"/>
      <c r="M67" s="30"/>
      <c r="N67" s="30"/>
      <c r="O67" s="30"/>
      <c r="P67" s="30"/>
      <c r="Q67" s="30"/>
      <c r="R67" s="30"/>
      <c r="S67" s="30"/>
    </row>
    <row r="68" spans="2:19" x14ac:dyDescent="0.3">
      <c r="B68" s="29"/>
      <c r="C68" s="29"/>
      <c r="D68" s="29"/>
      <c r="E68" s="67"/>
      <c r="F68" s="30"/>
      <c r="G68" s="30"/>
      <c r="H68" s="30"/>
      <c r="I68" s="30"/>
      <c r="J68" s="30"/>
      <c r="K68" s="30"/>
      <c r="L68" s="30"/>
      <c r="M68" s="30"/>
      <c r="N68" s="30"/>
      <c r="O68" s="30"/>
      <c r="P68" s="30"/>
      <c r="Q68" s="30"/>
      <c r="R68" s="30"/>
      <c r="S68" s="30"/>
    </row>
    <row r="69" spans="2:19" x14ac:dyDescent="0.3">
      <c r="B69" s="29"/>
      <c r="C69" s="29"/>
      <c r="D69" s="29"/>
      <c r="E69" s="67"/>
      <c r="F69" s="30"/>
      <c r="G69" s="30"/>
      <c r="H69" s="30"/>
      <c r="I69" s="30"/>
      <c r="J69" s="30"/>
      <c r="K69" s="30"/>
      <c r="L69" s="30"/>
      <c r="M69" s="30"/>
      <c r="N69" s="30"/>
      <c r="O69" s="30"/>
      <c r="P69" s="30"/>
      <c r="Q69" s="30"/>
      <c r="R69" s="30"/>
      <c r="S69" s="30"/>
    </row>
    <row r="70" spans="2:19" x14ac:dyDescent="0.3">
      <c r="B70" s="29"/>
      <c r="C70" s="29"/>
      <c r="D70" s="29"/>
      <c r="E70" s="67"/>
      <c r="F70" s="30"/>
      <c r="G70" s="30"/>
      <c r="H70" s="30"/>
      <c r="I70" s="30"/>
      <c r="J70" s="30"/>
      <c r="K70" s="30"/>
      <c r="L70" s="30"/>
      <c r="M70" s="30"/>
      <c r="N70" s="30"/>
      <c r="O70" s="30"/>
      <c r="P70" s="30"/>
      <c r="Q70" s="30"/>
      <c r="R70" s="30"/>
      <c r="S70" s="30"/>
    </row>
    <row r="71" spans="2:19" x14ac:dyDescent="0.3">
      <c r="B71" s="29"/>
      <c r="C71" s="29"/>
      <c r="D71" s="29"/>
      <c r="E71" s="67"/>
      <c r="F71" s="30"/>
      <c r="G71" s="30"/>
      <c r="H71" s="30"/>
      <c r="I71" s="30"/>
      <c r="J71" s="30"/>
      <c r="K71" s="30"/>
      <c r="L71" s="30"/>
      <c r="M71" s="30"/>
      <c r="N71" s="30"/>
      <c r="O71" s="30"/>
      <c r="P71" s="30"/>
      <c r="Q71" s="30"/>
      <c r="R71" s="30"/>
      <c r="S71" s="30"/>
    </row>
    <row r="72" spans="2:19" x14ac:dyDescent="0.3">
      <c r="B72" s="29"/>
      <c r="C72" s="29"/>
      <c r="D72" s="29"/>
      <c r="E72" s="67"/>
      <c r="F72" s="30"/>
      <c r="G72" s="30"/>
      <c r="H72" s="30"/>
      <c r="I72" s="30"/>
      <c r="J72" s="30"/>
      <c r="K72" s="30"/>
      <c r="L72" s="30"/>
      <c r="M72" s="30"/>
      <c r="N72" s="30"/>
      <c r="O72" s="30"/>
      <c r="P72" s="30"/>
      <c r="Q72" s="30"/>
      <c r="R72" s="30"/>
      <c r="S72" s="30"/>
    </row>
    <row r="73" spans="2:19" x14ac:dyDescent="0.3">
      <c r="B73" s="29"/>
      <c r="C73" s="29"/>
      <c r="D73" s="29"/>
      <c r="E73" s="67"/>
      <c r="F73" s="30"/>
      <c r="G73" s="30"/>
      <c r="H73" s="30"/>
      <c r="I73" s="30"/>
      <c r="J73" s="30"/>
      <c r="K73" s="30"/>
      <c r="L73" s="30"/>
      <c r="M73" s="30"/>
      <c r="N73" s="30"/>
      <c r="O73" s="30"/>
      <c r="P73" s="30"/>
      <c r="Q73" s="30"/>
      <c r="R73" s="30"/>
      <c r="S73" s="30"/>
    </row>
    <row r="74" spans="2:19" x14ac:dyDescent="0.3">
      <c r="B74" s="29"/>
      <c r="C74" s="29"/>
      <c r="D74" s="29"/>
      <c r="E74" s="67"/>
      <c r="F74" s="30"/>
      <c r="G74" s="30"/>
      <c r="H74" s="30"/>
      <c r="I74" s="30"/>
      <c r="J74" s="30"/>
      <c r="K74" s="30"/>
      <c r="L74" s="30"/>
      <c r="M74" s="30"/>
      <c r="N74" s="30"/>
      <c r="O74" s="30"/>
      <c r="P74" s="30"/>
      <c r="Q74" s="30"/>
      <c r="R74" s="30"/>
      <c r="S74" s="30"/>
    </row>
    <row r="75" spans="2:19" x14ac:dyDescent="0.3">
      <c r="B75" s="29"/>
      <c r="C75" s="29"/>
      <c r="D75" s="29"/>
      <c r="E75" s="67"/>
      <c r="F75" s="30"/>
      <c r="G75" s="30"/>
      <c r="H75" s="30"/>
      <c r="I75" s="30"/>
      <c r="J75" s="30"/>
      <c r="K75" s="30"/>
      <c r="L75" s="30"/>
      <c r="M75" s="30"/>
      <c r="N75" s="30"/>
      <c r="O75" s="30"/>
      <c r="P75" s="30"/>
      <c r="Q75" s="30"/>
      <c r="R75" s="30"/>
      <c r="S75" s="30"/>
    </row>
    <row r="76" spans="2:19" x14ac:dyDescent="0.3">
      <c r="B76" s="29"/>
      <c r="C76" s="29"/>
      <c r="D76" s="29"/>
      <c r="E76" s="67"/>
      <c r="F76" s="30"/>
      <c r="G76" s="30"/>
      <c r="H76" s="30"/>
      <c r="I76" s="30"/>
      <c r="J76" s="30"/>
      <c r="K76" s="30"/>
      <c r="L76" s="30"/>
      <c r="M76" s="30"/>
      <c r="N76" s="30"/>
      <c r="O76" s="30"/>
      <c r="P76" s="30"/>
      <c r="Q76" s="30"/>
      <c r="R76" s="30"/>
      <c r="S76" s="30"/>
    </row>
    <row r="77" spans="2:19" x14ac:dyDescent="0.3">
      <c r="B77" s="29"/>
      <c r="C77" s="29"/>
      <c r="D77" s="29"/>
      <c r="E77" s="67"/>
      <c r="F77" s="30"/>
      <c r="G77" s="30"/>
      <c r="H77" s="30"/>
      <c r="I77" s="30"/>
      <c r="J77" s="30"/>
      <c r="K77" s="30"/>
      <c r="L77" s="30"/>
      <c r="M77" s="30"/>
      <c r="N77" s="30"/>
      <c r="O77" s="30"/>
      <c r="P77" s="30"/>
      <c r="Q77" s="30"/>
      <c r="R77" s="30"/>
      <c r="S77" s="30"/>
    </row>
    <row r="78" spans="2:19" x14ac:dyDescent="0.3">
      <c r="B78" s="29"/>
      <c r="C78" s="29"/>
      <c r="D78" s="29"/>
      <c r="E78" s="67"/>
      <c r="F78" s="30"/>
      <c r="G78" s="30"/>
      <c r="H78" s="30"/>
      <c r="I78" s="30"/>
      <c r="J78" s="30"/>
      <c r="K78" s="30"/>
      <c r="L78" s="30"/>
      <c r="M78" s="30"/>
      <c r="N78" s="30"/>
      <c r="O78" s="30"/>
      <c r="P78" s="30"/>
      <c r="Q78" s="30"/>
      <c r="R78" s="30"/>
      <c r="S78" s="30"/>
    </row>
    <row r="79" spans="2:19" x14ac:dyDescent="0.3">
      <c r="B79" s="29"/>
      <c r="C79" s="29"/>
      <c r="D79" s="29"/>
      <c r="E79" s="67"/>
      <c r="F79" s="30"/>
      <c r="G79" s="30"/>
      <c r="H79" s="30"/>
      <c r="I79" s="30"/>
      <c r="J79" s="30"/>
      <c r="K79" s="30"/>
      <c r="L79" s="30"/>
      <c r="M79" s="30"/>
      <c r="N79" s="30"/>
      <c r="O79" s="30"/>
      <c r="P79" s="30"/>
      <c r="Q79" s="30"/>
      <c r="R79" s="30"/>
      <c r="S79" s="30"/>
    </row>
    <row r="80" spans="2:19" x14ac:dyDescent="0.3">
      <c r="B80" s="29"/>
      <c r="C80" s="29"/>
      <c r="D80" s="29"/>
      <c r="E80" s="67"/>
      <c r="F80" s="30"/>
      <c r="G80" s="30"/>
      <c r="H80" s="30"/>
      <c r="I80" s="30"/>
      <c r="J80" s="30"/>
      <c r="K80" s="30"/>
      <c r="L80" s="30"/>
      <c r="M80" s="30"/>
      <c r="N80" s="30"/>
      <c r="O80" s="30"/>
      <c r="P80" s="30"/>
      <c r="Q80" s="30"/>
      <c r="R80" s="30"/>
      <c r="S80" s="30"/>
    </row>
    <row r="81" spans="2:19" x14ac:dyDescent="0.3">
      <c r="B81" s="29"/>
      <c r="C81" s="29"/>
      <c r="D81" s="29"/>
      <c r="E81" s="67"/>
      <c r="F81" s="30"/>
      <c r="G81" s="30"/>
      <c r="H81" s="30"/>
      <c r="I81" s="30"/>
      <c r="J81" s="30"/>
      <c r="K81" s="30"/>
      <c r="L81" s="30"/>
      <c r="M81" s="30"/>
      <c r="N81" s="30"/>
      <c r="O81" s="30"/>
      <c r="P81" s="30"/>
      <c r="Q81" s="30"/>
      <c r="R81" s="30"/>
      <c r="S81" s="30"/>
    </row>
    <row r="82" spans="2:19" x14ac:dyDescent="0.3">
      <c r="B82" s="29"/>
      <c r="C82" s="29"/>
      <c r="D82" s="29"/>
      <c r="E82" s="67"/>
      <c r="F82" s="30"/>
      <c r="G82" s="30"/>
      <c r="H82" s="30"/>
      <c r="I82" s="30"/>
      <c r="J82" s="30"/>
      <c r="K82" s="30"/>
      <c r="L82" s="30"/>
      <c r="M82" s="30"/>
      <c r="N82" s="30"/>
      <c r="O82" s="30"/>
      <c r="P82" s="30"/>
      <c r="Q82" s="30"/>
      <c r="R82" s="30"/>
      <c r="S82" s="30"/>
    </row>
    <row r="83" spans="2:19" x14ac:dyDescent="0.3">
      <c r="B83" s="29"/>
      <c r="C83" s="29"/>
      <c r="D83" s="29"/>
      <c r="E83" s="67"/>
      <c r="F83" s="30"/>
      <c r="G83" s="30"/>
      <c r="H83" s="30"/>
      <c r="I83" s="30"/>
      <c r="J83" s="30"/>
      <c r="K83" s="30"/>
      <c r="L83" s="30"/>
      <c r="M83" s="30"/>
      <c r="N83" s="30"/>
      <c r="O83" s="30"/>
      <c r="P83" s="30"/>
      <c r="Q83" s="30"/>
      <c r="R83" s="30"/>
      <c r="S83" s="30"/>
    </row>
    <row r="84" spans="2:19" x14ac:dyDescent="0.3">
      <c r="B84" s="29"/>
      <c r="C84" s="29"/>
      <c r="D84" s="29"/>
      <c r="E84" s="67"/>
      <c r="F84" s="30"/>
      <c r="G84" s="30"/>
      <c r="H84" s="30"/>
      <c r="I84" s="30"/>
      <c r="J84" s="30"/>
      <c r="K84" s="30"/>
      <c r="L84" s="30"/>
      <c r="M84" s="30"/>
      <c r="N84" s="30"/>
      <c r="O84" s="30"/>
      <c r="P84" s="30"/>
      <c r="Q84" s="30"/>
      <c r="R84" s="30"/>
      <c r="S84" s="30"/>
    </row>
    <row r="85" spans="2:19" x14ac:dyDescent="0.3">
      <c r="B85" s="29"/>
      <c r="C85" s="29"/>
      <c r="D85" s="29"/>
      <c r="E85" s="67"/>
      <c r="F85" s="30"/>
      <c r="G85" s="30"/>
      <c r="H85" s="30"/>
      <c r="I85" s="30"/>
      <c r="J85" s="30"/>
      <c r="K85" s="30"/>
      <c r="L85" s="30"/>
      <c r="M85" s="30"/>
      <c r="N85" s="30"/>
      <c r="O85" s="30"/>
      <c r="P85" s="30"/>
      <c r="Q85" s="30"/>
      <c r="R85" s="30"/>
      <c r="S85" s="30"/>
    </row>
    <row r="86" spans="2:19" x14ac:dyDescent="0.3">
      <c r="B86" s="29"/>
      <c r="C86" s="29"/>
      <c r="D86" s="29"/>
      <c r="E86" s="67"/>
      <c r="F86" s="30"/>
      <c r="G86" s="30"/>
      <c r="H86" s="30"/>
      <c r="I86" s="30"/>
      <c r="J86" s="30"/>
      <c r="K86" s="30"/>
      <c r="L86" s="30"/>
      <c r="M86" s="30"/>
      <c r="N86" s="30"/>
      <c r="O86" s="30"/>
      <c r="P86" s="30"/>
      <c r="Q86" s="30"/>
      <c r="R86" s="30"/>
      <c r="S86" s="30"/>
    </row>
    <row r="87" spans="2:19" x14ac:dyDescent="0.3">
      <c r="B87" s="29"/>
      <c r="C87" s="29"/>
      <c r="D87" s="29"/>
      <c r="E87" s="67"/>
      <c r="F87" s="30"/>
      <c r="G87" s="30"/>
      <c r="H87" s="30"/>
      <c r="I87" s="30"/>
      <c r="J87" s="30"/>
      <c r="K87" s="30"/>
      <c r="L87" s="30"/>
      <c r="M87" s="30"/>
      <c r="N87" s="30"/>
      <c r="O87" s="30"/>
      <c r="P87" s="30"/>
      <c r="Q87" s="30"/>
      <c r="R87" s="30"/>
      <c r="S87" s="30"/>
    </row>
    <row r="88" spans="2:19" x14ac:dyDescent="0.3">
      <c r="B88" s="29"/>
      <c r="C88" s="29"/>
      <c r="D88" s="29"/>
      <c r="E88" s="67"/>
      <c r="F88" s="30"/>
      <c r="G88" s="30"/>
      <c r="H88" s="30"/>
      <c r="I88" s="30"/>
      <c r="J88" s="30"/>
      <c r="K88" s="30"/>
      <c r="L88" s="30"/>
      <c r="M88" s="30"/>
      <c r="N88" s="30"/>
      <c r="O88" s="30"/>
      <c r="P88" s="30"/>
      <c r="Q88" s="30"/>
      <c r="R88" s="30"/>
      <c r="S88" s="30"/>
    </row>
    <row r="89" spans="2:19" x14ac:dyDescent="0.3">
      <c r="B89" s="29"/>
      <c r="C89" s="29"/>
      <c r="D89" s="29"/>
      <c r="E89" s="67"/>
      <c r="F89" s="30"/>
      <c r="G89" s="30"/>
      <c r="H89" s="30"/>
      <c r="I89" s="30"/>
      <c r="J89" s="30"/>
      <c r="K89" s="30"/>
      <c r="L89" s="30"/>
      <c r="M89" s="30"/>
      <c r="N89" s="30"/>
      <c r="O89" s="30"/>
      <c r="P89" s="30"/>
      <c r="Q89" s="30"/>
      <c r="R89" s="30"/>
      <c r="S89" s="30"/>
    </row>
    <row r="90" spans="2:19" x14ac:dyDescent="0.3">
      <c r="B90" s="29"/>
      <c r="C90" s="29"/>
      <c r="D90" s="29"/>
      <c r="E90" s="67"/>
      <c r="F90" s="30"/>
      <c r="G90" s="30"/>
      <c r="H90" s="30"/>
      <c r="I90" s="30"/>
      <c r="J90" s="30"/>
      <c r="K90" s="30"/>
      <c r="L90" s="30"/>
      <c r="M90" s="30"/>
      <c r="N90" s="30"/>
      <c r="O90" s="30"/>
      <c r="P90" s="30"/>
      <c r="Q90" s="30"/>
      <c r="R90" s="30"/>
      <c r="S90" s="30"/>
    </row>
    <row r="91" spans="2:19" x14ac:dyDescent="0.3">
      <c r="B91" s="29"/>
      <c r="C91" s="29"/>
      <c r="D91" s="29"/>
      <c r="E91" s="67"/>
      <c r="F91" s="30"/>
      <c r="G91" s="30"/>
      <c r="H91" s="30"/>
      <c r="I91" s="30"/>
      <c r="J91" s="30"/>
      <c r="K91" s="30"/>
      <c r="L91" s="30"/>
      <c r="M91" s="30"/>
      <c r="N91" s="30"/>
      <c r="O91" s="30"/>
      <c r="P91" s="30"/>
      <c r="Q91" s="30"/>
      <c r="R91" s="30"/>
      <c r="S91" s="30"/>
    </row>
    <row r="92" spans="2:19" x14ac:dyDescent="0.3">
      <c r="B92" s="29"/>
      <c r="C92" s="29"/>
      <c r="D92" s="29"/>
      <c r="E92" s="67"/>
      <c r="F92" s="30"/>
      <c r="G92" s="30"/>
      <c r="H92" s="30"/>
      <c r="I92" s="30"/>
      <c r="J92" s="30"/>
      <c r="K92" s="30"/>
      <c r="L92" s="30"/>
      <c r="M92" s="30"/>
      <c r="N92" s="30"/>
      <c r="O92" s="30"/>
      <c r="P92" s="30"/>
      <c r="Q92" s="30"/>
      <c r="R92" s="30"/>
      <c r="S92" s="30"/>
    </row>
    <row r="93" spans="2:19" x14ac:dyDescent="0.3">
      <c r="B93" s="29"/>
      <c r="C93" s="29"/>
      <c r="D93" s="29"/>
      <c r="E93" s="67"/>
      <c r="F93" s="30"/>
      <c r="G93" s="30"/>
      <c r="H93" s="30"/>
      <c r="I93" s="30"/>
      <c r="J93" s="30"/>
      <c r="K93" s="30"/>
      <c r="L93" s="30"/>
      <c r="M93" s="30"/>
      <c r="N93" s="30"/>
      <c r="O93" s="30"/>
      <c r="P93" s="30"/>
      <c r="Q93" s="30"/>
      <c r="R93" s="30"/>
      <c r="S93" s="30"/>
    </row>
    <row r="94" spans="2:19" x14ac:dyDescent="0.3">
      <c r="B94" s="29"/>
      <c r="C94" s="29"/>
      <c r="D94" s="29"/>
      <c r="E94" s="67"/>
      <c r="F94" s="30"/>
      <c r="G94" s="30"/>
      <c r="H94" s="30"/>
      <c r="I94" s="30"/>
      <c r="J94" s="30"/>
      <c r="K94" s="30"/>
      <c r="L94" s="30"/>
      <c r="M94" s="30"/>
      <c r="N94" s="30"/>
      <c r="O94" s="30"/>
      <c r="P94" s="30"/>
      <c r="Q94" s="30"/>
      <c r="R94" s="30"/>
      <c r="S94" s="30"/>
    </row>
    <row r="95" spans="2:19" x14ac:dyDescent="0.3">
      <c r="B95" s="29"/>
      <c r="C95" s="29"/>
      <c r="D95" s="29"/>
      <c r="E95" s="67"/>
      <c r="F95" s="30"/>
      <c r="G95" s="30"/>
      <c r="H95" s="30"/>
      <c r="I95" s="30"/>
      <c r="J95" s="30"/>
      <c r="K95" s="30"/>
      <c r="L95" s="30"/>
      <c r="M95" s="30"/>
      <c r="N95" s="30"/>
      <c r="O95" s="30"/>
      <c r="P95" s="30"/>
      <c r="Q95" s="30"/>
      <c r="R95" s="30"/>
      <c r="S95" s="30"/>
    </row>
    <row r="96" spans="2:19" x14ac:dyDescent="0.3">
      <c r="B96" s="29"/>
      <c r="C96" s="29"/>
      <c r="D96" s="29"/>
      <c r="E96" s="67"/>
      <c r="F96" s="30"/>
      <c r="G96" s="30"/>
      <c r="H96" s="30"/>
      <c r="I96" s="30"/>
      <c r="J96" s="30"/>
      <c r="K96" s="30"/>
      <c r="L96" s="30"/>
      <c r="M96" s="30"/>
      <c r="N96" s="30"/>
      <c r="O96" s="30"/>
      <c r="P96" s="30"/>
      <c r="Q96" s="30"/>
      <c r="R96" s="30"/>
      <c r="S96" s="30"/>
    </row>
    <row r="97" spans="2:19" x14ac:dyDescent="0.3">
      <c r="B97" s="29"/>
      <c r="C97" s="29"/>
      <c r="D97" s="29"/>
      <c r="E97" s="67"/>
      <c r="F97" s="30"/>
      <c r="G97" s="30"/>
      <c r="H97" s="30"/>
      <c r="I97" s="30"/>
      <c r="J97" s="30"/>
      <c r="K97" s="30"/>
      <c r="L97" s="30"/>
      <c r="M97" s="30"/>
      <c r="N97" s="30"/>
      <c r="O97" s="30"/>
      <c r="P97" s="30"/>
      <c r="Q97" s="30"/>
      <c r="R97" s="30"/>
      <c r="S97" s="30"/>
    </row>
    <row r="98" spans="2:19" x14ac:dyDescent="0.3">
      <c r="B98" s="29"/>
      <c r="C98" s="29"/>
      <c r="D98" s="29"/>
      <c r="E98" s="67"/>
      <c r="F98" s="30"/>
      <c r="G98" s="30"/>
      <c r="H98" s="30"/>
      <c r="I98" s="30"/>
      <c r="J98" s="30"/>
      <c r="K98" s="30"/>
      <c r="L98" s="30"/>
      <c r="M98" s="30"/>
      <c r="N98" s="30"/>
      <c r="O98" s="30"/>
      <c r="P98" s="30"/>
      <c r="Q98" s="30"/>
      <c r="R98" s="30"/>
      <c r="S98" s="30"/>
    </row>
    <row r="99" spans="2:19" x14ac:dyDescent="0.3">
      <c r="B99" s="29"/>
      <c r="C99" s="29"/>
      <c r="D99" s="29"/>
      <c r="E99" s="67"/>
      <c r="F99" s="30"/>
      <c r="G99" s="30"/>
      <c r="H99" s="30"/>
      <c r="I99" s="30"/>
      <c r="J99" s="30"/>
      <c r="K99" s="30"/>
      <c r="L99" s="30"/>
      <c r="M99" s="30"/>
      <c r="N99" s="30"/>
      <c r="O99" s="30"/>
      <c r="P99" s="30"/>
      <c r="Q99" s="30"/>
      <c r="R99" s="30"/>
      <c r="S99" s="30"/>
    </row>
    <row r="100" spans="2:19" x14ac:dyDescent="0.3">
      <c r="B100" s="29"/>
      <c r="C100" s="29"/>
      <c r="D100" s="29"/>
      <c r="E100" s="67"/>
      <c r="F100" s="30"/>
      <c r="G100" s="30"/>
      <c r="H100" s="30"/>
      <c r="I100" s="30"/>
      <c r="J100" s="30"/>
      <c r="K100" s="30"/>
      <c r="L100" s="30"/>
      <c r="M100" s="30"/>
      <c r="N100" s="30"/>
      <c r="O100" s="30"/>
      <c r="P100" s="30"/>
      <c r="Q100" s="30"/>
      <c r="R100" s="30"/>
      <c r="S100" s="30"/>
    </row>
    <row r="101" spans="2:19" x14ac:dyDescent="0.3">
      <c r="B101" s="29"/>
      <c r="C101" s="29"/>
      <c r="D101" s="29"/>
      <c r="E101" s="67"/>
      <c r="F101" s="30"/>
      <c r="G101" s="30"/>
      <c r="H101" s="30"/>
      <c r="I101" s="30"/>
      <c r="J101" s="30"/>
      <c r="K101" s="30"/>
      <c r="L101" s="30"/>
      <c r="M101" s="30"/>
      <c r="N101" s="30"/>
      <c r="O101" s="30"/>
      <c r="P101" s="30"/>
      <c r="Q101" s="30"/>
      <c r="R101" s="30"/>
      <c r="S101" s="30"/>
    </row>
    <row r="102" spans="2:19" x14ac:dyDescent="0.3">
      <c r="B102" s="29"/>
      <c r="C102" s="29"/>
      <c r="D102" s="29"/>
      <c r="E102" s="67"/>
      <c r="F102" s="30"/>
      <c r="G102" s="30"/>
      <c r="H102" s="30"/>
      <c r="I102" s="30"/>
      <c r="J102" s="30"/>
      <c r="K102" s="30"/>
      <c r="L102" s="30"/>
      <c r="M102" s="30"/>
      <c r="N102" s="30"/>
      <c r="O102" s="30"/>
      <c r="P102" s="30"/>
      <c r="Q102" s="30"/>
      <c r="R102" s="30"/>
      <c r="S102" s="30"/>
    </row>
    <row r="103" spans="2:19" x14ac:dyDescent="0.3">
      <c r="B103" s="29"/>
      <c r="C103" s="29"/>
      <c r="D103" s="29"/>
      <c r="E103" s="67"/>
      <c r="F103" s="30"/>
      <c r="G103" s="30"/>
      <c r="H103" s="30"/>
      <c r="I103" s="30"/>
      <c r="J103" s="30"/>
      <c r="K103" s="30"/>
      <c r="L103" s="30"/>
      <c r="M103" s="30"/>
      <c r="N103" s="30"/>
      <c r="O103" s="30"/>
      <c r="P103" s="30"/>
      <c r="Q103" s="30"/>
      <c r="R103" s="30"/>
      <c r="S103" s="30"/>
    </row>
    <row r="104" spans="2:19" x14ac:dyDescent="0.3">
      <c r="B104" s="29"/>
      <c r="C104" s="29"/>
      <c r="D104" s="29"/>
      <c r="E104" s="67"/>
      <c r="F104" s="30"/>
      <c r="G104" s="30"/>
      <c r="H104" s="30"/>
      <c r="I104" s="30"/>
      <c r="J104" s="30"/>
      <c r="K104" s="30"/>
      <c r="L104" s="30"/>
      <c r="M104" s="30"/>
      <c r="N104" s="30"/>
      <c r="O104" s="30"/>
      <c r="P104" s="30"/>
      <c r="Q104" s="30"/>
      <c r="R104" s="30"/>
      <c r="S104" s="30"/>
    </row>
    <row r="105" spans="2:19" x14ac:dyDescent="0.3">
      <c r="B105" s="29"/>
      <c r="C105" s="29"/>
      <c r="D105" s="29"/>
      <c r="E105" s="67"/>
      <c r="F105" s="30"/>
      <c r="G105" s="30"/>
      <c r="H105" s="30"/>
      <c r="I105" s="30"/>
      <c r="J105" s="30"/>
      <c r="K105" s="30"/>
      <c r="L105" s="30"/>
      <c r="M105" s="30"/>
      <c r="N105" s="30"/>
      <c r="O105" s="30"/>
      <c r="P105" s="30"/>
      <c r="Q105" s="30"/>
      <c r="R105" s="30"/>
      <c r="S105" s="30"/>
    </row>
    <row r="106" spans="2:19" x14ac:dyDescent="0.3">
      <c r="B106" s="29"/>
      <c r="C106" s="29"/>
      <c r="D106" s="29"/>
      <c r="E106" s="67"/>
      <c r="F106" s="30"/>
      <c r="G106" s="30"/>
      <c r="H106" s="30"/>
      <c r="I106" s="30"/>
      <c r="J106" s="30"/>
      <c r="K106" s="30"/>
      <c r="L106" s="30"/>
      <c r="M106" s="30"/>
      <c r="N106" s="30"/>
      <c r="O106" s="30"/>
      <c r="P106" s="30"/>
      <c r="Q106" s="30"/>
      <c r="R106" s="30"/>
      <c r="S106" s="30"/>
    </row>
    <row r="107" spans="2:19" x14ac:dyDescent="0.3">
      <c r="B107" s="29"/>
      <c r="C107" s="29"/>
      <c r="D107" s="29"/>
      <c r="E107" s="67"/>
      <c r="F107" s="30"/>
      <c r="G107" s="30"/>
      <c r="H107" s="30"/>
      <c r="I107" s="30"/>
      <c r="J107" s="30"/>
      <c r="K107" s="30"/>
      <c r="L107" s="30"/>
      <c r="M107" s="30"/>
      <c r="N107" s="30"/>
      <c r="O107" s="30"/>
      <c r="P107" s="30"/>
      <c r="Q107" s="30"/>
      <c r="R107" s="30"/>
      <c r="S107" s="30"/>
    </row>
    <row r="108" spans="2:19" x14ac:dyDescent="0.3">
      <c r="B108" s="29"/>
      <c r="C108" s="29"/>
      <c r="D108" s="29"/>
      <c r="E108" s="67"/>
      <c r="F108" s="30"/>
      <c r="G108" s="30"/>
      <c r="H108" s="30"/>
      <c r="I108" s="30"/>
      <c r="J108" s="30"/>
      <c r="K108" s="30"/>
      <c r="L108" s="30"/>
      <c r="M108" s="30"/>
      <c r="N108" s="30"/>
      <c r="O108" s="30"/>
      <c r="P108" s="30"/>
      <c r="Q108" s="30"/>
      <c r="R108" s="30"/>
      <c r="S108" s="30"/>
    </row>
    <row r="109" spans="2:19" x14ac:dyDescent="0.3">
      <c r="B109" s="29"/>
      <c r="C109" s="29"/>
      <c r="D109" s="29"/>
      <c r="E109" s="67"/>
      <c r="F109" s="30"/>
      <c r="G109" s="30"/>
      <c r="H109" s="30"/>
      <c r="I109" s="30"/>
      <c r="J109" s="30"/>
      <c r="K109" s="30"/>
      <c r="L109" s="30"/>
      <c r="M109" s="30"/>
      <c r="N109" s="30"/>
      <c r="O109" s="30"/>
      <c r="P109" s="30"/>
      <c r="Q109" s="30"/>
      <c r="R109" s="30"/>
      <c r="S109" s="30"/>
    </row>
    <row r="110" spans="2:19" x14ac:dyDescent="0.3">
      <c r="B110" s="29"/>
      <c r="C110" s="29"/>
      <c r="D110" s="29"/>
      <c r="E110" s="67"/>
      <c r="F110" s="30"/>
      <c r="G110" s="30"/>
      <c r="H110" s="30"/>
      <c r="I110" s="30"/>
      <c r="J110" s="30"/>
      <c r="K110" s="30"/>
      <c r="L110" s="30"/>
      <c r="M110" s="30"/>
      <c r="N110" s="30"/>
      <c r="O110" s="30"/>
      <c r="P110" s="30"/>
      <c r="Q110" s="30"/>
      <c r="R110" s="30"/>
      <c r="S110" s="30"/>
    </row>
    <row r="111" spans="2:19" x14ac:dyDescent="0.3">
      <c r="B111" s="29"/>
      <c r="C111" s="29"/>
      <c r="D111" s="29"/>
      <c r="E111" s="67"/>
      <c r="F111" s="30"/>
      <c r="G111" s="30"/>
      <c r="H111" s="30"/>
      <c r="I111" s="30"/>
      <c r="J111" s="30"/>
      <c r="K111" s="30"/>
      <c r="L111" s="30"/>
      <c r="M111" s="30"/>
      <c r="N111" s="30"/>
      <c r="O111" s="30"/>
      <c r="P111" s="30"/>
      <c r="Q111" s="30"/>
      <c r="R111" s="30"/>
      <c r="S111" s="30"/>
    </row>
    <row r="112" spans="2:19" x14ac:dyDescent="0.3">
      <c r="B112" s="29"/>
      <c r="C112" s="29"/>
      <c r="D112" s="29"/>
      <c r="E112" s="67"/>
      <c r="F112" s="30"/>
      <c r="G112" s="30"/>
      <c r="H112" s="30"/>
      <c r="I112" s="30"/>
      <c r="J112" s="30"/>
      <c r="K112" s="30"/>
      <c r="L112" s="30"/>
      <c r="M112" s="30"/>
      <c r="N112" s="30"/>
      <c r="O112" s="30"/>
      <c r="P112" s="30"/>
      <c r="Q112" s="30"/>
      <c r="R112" s="30"/>
      <c r="S112" s="30"/>
    </row>
    <row r="113" spans="2:19" x14ac:dyDescent="0.3">
      <c r="B113" s="29"/>
      <c r="C113" s="29"/>
      <c r="D113" s="29"/>
      <c r="E113" s="67"/>
      <c r="F113" s="30"/>
      <c r="G113" s="30"/>
      <c r="H113" s="30"/>
      <c r="I113" s="30"/>
      <c r="J113" s="30"/>
      <c r="K113" s="30"/>
      <c r="L113" s="30"/>
      <c r="M113" s="30"/>
      <c r="N113" s="30"/>
      <c r="O113" s="30"/>
      <c r="P113" s="30"/>
      <c r="Q113" s="30"/>
      <c r="R113" s="30"/>
      <c r="S113" s="30"/>
    </row>
    <row r="114" spans="2:19" x14ac:dyDescent="0.3">
      <c r="B114" s="29"/>
      <c r="C114" s="29"/>
      <c r="D114" s="29"/>
      <c r="E114" s="67"/>
      <c r="F114" s="30"/>
      <c r="G114" s="30"/>
      <c r="H114" s="30"/>
      <c r="I114" s="30"/>
      <c r="J114" s="30"/>
      <c r="K114" s="30"/>
      <c r="L114" s="30"/>
      <c r="M114" s="30"/>
      <c r="N114" s="30"/>
      <c r="O114" s="30"/>
      <c r="P114" s="30"/>
      <c r="Q114" s="30"/>
      <c r="R114" s="30"/>
      <c r="S114" s="30"/>
    </row>
    <row r="115" spans="2:19" x14ac:dyDescent="0.3">
      <c r="B115" s="29"/>
      <c r="C115" s="29"/>
      <c r="D115" s="29"/>
      <c r="E115" s="67"/>
      <c r="F115" s="30"/>
      <c r="G115" s="30"/>
      <c r="H115" s="30"/>
      <c r="I115" s="30"/>
      <c r="J115" s="30"/>
      <c r="K115" s="30"/>
      <c r="L115" s="30"/>
      <c r="M115" s="30"/>
      <c r="N115" s="30"/>
      <c r="O115" s="30"/>
      <c r="P115" s="30"/>
      <c r="Q115" s="30"/>
      <c r="R115" s="30"/>
      <c r="S115" s="30"/>
    </row>
    <row r="116" spans="2:19" x14ac:dyDescent="0.3">
      <c r="B116" s="29"/>
      <c r="C116" s="29"/>
      <c r="D116" s="29"/>
      <c r="E116" s="67"/>
      <c r="F116" s="30"/>
      <c r="G116" s="30"/>
      <c r="H116" s="30"/>
      <c r="I116" s="30"/>
      <c r="J116" s="30"/>
      <c r="K116" s="30"/>
      <c r="L116" s="30"/>
      <c r="M116" s="30"/>
      <c r="N116" s="30"/>
      <c r="O116" s="30"/>
      <c r="P116" s="30"/>
      <c r="Q116" s="30"/>
      <c r="R116" s="30"/>
      <c r="S116" s="30"/>
    </row>
    <row r="117" spans="2:19" x14ac:dyDescent="0.3">
      <c r="B117" s="29"/>
      <c r="C117" s="29"/>
      <c r="D117" s="29"/>
      <c r="E117" s="67"/>
      <c r="F117" s="30"/>
      <c r="G117" s="30"/>
      <c r="H117" s="30"/>
      <c r="I117" s="30"/>
      <c r="J117" s="30"/>
      <c r="K117" s="30"/>
      <c r="L117" s="30"/>
      <c r="M117" s="30"/>
      <c r="N117" s="30"/>
      <c r="O117" s="30"/>
      <c r="P117" s="30"/>
      <c r="Q117" s="30"/>
      <c r="R117" s="30"/>
      <c r="S117" s="30"/>
    </row>
    <row r="118" spans="2:19" x14ac:dyDescent="0.3">
      <c r="B118" s="29"/>
      <c r="C118" s="29"/>
      <c r="D118" s="29"/>
      <c r="E118" s="67"/>
      <c r="F118" s="30"/>
      <c r="G118" s="30"/>
      <c r="H118" s="30"/>
      <c r="I118" s="30"/>
      <c r="J118" s="30"/>
      <c r="K118" s="30"/>
      <c r="L118" s="30"/>
      <c r="M118" s="30"/>
      <c r="N118" s="30"/>
      <c r="O118" s="30"/>
      <c r="P118" s="30"/>
      <c r="Q118" s="30"/>
      <c r="R118" s="30"/>
      <c r="S118" s="30"/>
    </row>
    <row r="119" spans="2:19" x14ac:dyDescent="0.3">
      <c r="B119" s="29"/>
      <c r="C119" s="29"/>
      <c r="D119" s="29"/>
      <c r="E119" s="67"/>
      <c r="F119" s="30"/>
      <c r="G119" s="30"/>
      <c r="H119" s="30"/>
      <c r="I119" s="30"/>
      <c r="J119" s="30"/>
      <c r="K119" s="30"/>
      <c r="L119" s="30"/>
      <c r="M119" s="30"/>
      <c r="N119" s="30"/>
      <c r="O119" s="30"/>
      <c r="P119" s="30"/>
      <c r="Q119" s="30"/>
      <c r="R119" s="30"/>
      <c r="S119" s="30"/>
    </row>
    <row r="120" spans="2:19" x14ac:dyDescent="0.3">
      <c r="B120" s="29"/>
      <c r="C120" s="29"/>
      <c r="D120" s="29"/>
      <c r="E120" s="67"/>
      <c r="F120" s="30"/>
      <c r="G120" s="30"/>
      <c r="H120" s="30"/>
      <c r="I120" s="30"/>
      <c r="J120" s="30"/>
      <c r="K120" s="30"/>
      <c r="L120" s="30"/>
      <c r="M120" s="30"/>
      <c r="N120" s="30"/>
      <c r="O120" s="30"/>
      <c r="P120" s="30"/>
      <c r="Q120" s="30"/>
      <c r="R120" s="30"/>
      <c r="S120" s="30"/>
    </row>
    <row r="121" spans="2:19" x14ac:dyDescent="0.3">
      <c r="B121" s="29"/>
      <c r="C121" s="29"/>
      <c r="D121" s="29"/>
      <c r="E121" s="67"/>
      <c r="F121" s="30"/>
      <c r="G121" s="30"/>
      <c r="H121" s="30"/>
      <c r="I121" s="30"/>
      <c r="J121" s="30"/>
      <c r="K121" s="30"/>
      <c r="L121" s="30"/>
      <c r="M121" s="30"/>
      <c r="N121" s="30"/>
      <c r="O121" s="30"/>
      <c r="P121" s="30"/>
      <c r="Q121" s="30"/>
      <c r="R121" s="30"/>
      <c r="S121" s="30"/>
    </row>
    <row r="122" spans="2:19" x14ac:dyDescent="0.3">
      <c r="B122" s="29"/>
      <c r="C122" s="29"/>
      <c r="D122" s="29"/>
      <c r="E122" s="67"/>
      <c r="F122" s="30"/>
      <c r="G122" s="30"/>
      <c r="H122" s="30"/>
      <c r="I122" s="30"/>
      <c r="J122" s="30"/>
      <c r="K122" s="30"/>
      <c r="L122" s="30"/>
      <c r="M122" s="30"/>
      <c r="N122" s="30"/>
      <c r="O122" s="30"/>
      <c r="P122" s="30"/>
      <c r="Q122" s="30"/>
      <c r="R122" s="30"/>
      <c r="S122" s="30"/>
    </row>
    <row r="123" spans="2:19" x14ac:dyDescent="0.3">
      <c r="B123" s="29"/>
      <c r="C123" s="29"/>
      <c r="D123" s="29"/>
      <c r="E123" s="67"/>
      <c r="F123" s="30"/>
      <c r="G123" s="30"/>
      <c r="H123" s="30"/>
      <c r="I123" s="30"/>
      <c r="J123" s="30"/>
      <c r="K123" s="30"/>
      <c r="L123" s="30"/>
      <c r="M123" s="30"/>
      <c r="N123" s="30"/>
      <c r="O123" s="30"/>
      <c r="P123" s="30"/>
      <c r="Q123" s="30"/>
      <c r="R123" s="30"/>
      <c r="S123" s="30"/>
    </row>
    <row r="124" spans="2:19" x14ac:dyDescent="0.3">
      <c r="B124" s="29"/>
      <c r="C124" s="29"/>
      <c r="D124" s="29"/>
      <c r="E124" s="67"/>
      <c r="F124" s="30"/>
      <c r="G124" s="30"/>
      <c r="H124" s="30"/>
      <c r="I124" s="30"/>
      <c r="J124" s="30"/>
      <c r="K124" s="30"/>
      <c r="L124" s="30"/>
      <c r="M124" s="30"/>
      <c r="N124" s="30"/>
      <c r="O124" s="30"/>
      <c r="P124" s="30"/>
      <c r="Q124" s="30"/>
      <c r="R124" s="30"/>
      <c r="S124" s="30"/>
    </row>
    <row r="125" spans="2:19" x14ac:dyDescent="0.3">
      <c r="B125" s="29"/>
      <c r="C125" s="29"/>
      <c r="D125" s="29"/>
      <c r="E125" s="67"/>
      <c r="F125" s="30"/>
      <c r="G125" s="30"/>
      <c r="H125" s="30"/>
      <c r="I125" s="30"/>
      <c r="J125" s="30"/>
      <c r="K125" s="30"/>
      <c r="L125" s="30"/>
      <c r="M125" s="30"/>
      <c r="N125" s="30"/>
      <c r="O125" s="30"/>
      <c r="P125" s="30"/>
      <c r="Q125" s="30"/>
      <c r="R125" s="30"/>
      <c r="S125" s="30"/>
    </row>
    <row r="126" spans="2:19" x14ac:dyDescent="0.3">
      <c r="B126" s="29"/>
      <c r="C126" s="29"/>
      <c r="D126" s="29"/>
      <c r="E126" s="67"/>
      <c r="F126" s="30"/>
      <c r="G126" s="30"/>
      <c r="H126" s="30"/>
      <c r="I126" s="30"/>
      <c r="J126" s="30"/>
      <c r="K126" s="30"/>
      <c r="L126" s="30"/>
      <c r="M126" s="30"/>
      <c r="N126" s="30"/>
      <c r="O126" s="30"/>
      <c r="P126" s="30"/>
      <c r="Q126" s="30"/>
      <c r="R126" s="30"/>
      <c r="S126" s="30"/>
    </row>
    <row r="127" spans="2:19" x14ac:dyDescent="0.3">
      <c r="B127" s="29"/>
      <c r="C127" s="29"/>
      <c r="D127" s="29"/>
      <c r="E127" s="67"/>
      <c r="F127" s="30"/>
      <c r="G127" s="30"/>
      <c r="H127" s="30"/>
      <c r="I127" s="30"/>
      <c r="J127" s="30"/>
      <c r="K127" s="30"/>
      <c r="L127" s="30"/>
      <c r="M127" s="30"/>
      <c r="N127" s="30"/>
      <c r="O127" s="30"/>
      <c r="P127" s="30"/>
      <c r="Q127" s="30"/>
      <c r="R127" s="30"/>
      <c r="S127" s="30"/>
    </row>
    <row r="128" spans="2:19" x14ac:dyDescent="0.3">
      <c r="B128" s="29"/>
      <c r="C128" s="29"/>
      <c r="D128" s="29"/>
      <c r="E128" s="67"/>
      <c r="F128" s="30"/>
      <c r="G128" s="30"/>
      <c r="H128" s="30"/>
      <c r="I128" s="30"/>
      <c r="J128" s="30"/>
      <c r="K128" s="30"/>
      <c r="L128" s="30"/>
      <c r="M128" s="30"/>
      <c r="N128" s="30"/>
      <c r="O128" s="30"/>
      <c r="P128" s="30"/>
      <c r="Q128" s="30"/>
      <c r="R128" s="30"/>
      <c r="S128" s="30"/>
    </row>
    <row r="129" spans="2:19" x14ac:dyDescent="0.3">
      <c r="B129" s="29"/>
      <c r="C129" s="29"/>
      <c r="D129" s="29"/>
      <c r="E129" s="67"/>
      <c r="F129" s="30"/>
      <c r="G129" s="30"/>
      <c r="H129" s="30"/>
      <c r="I129" s="30"/>
      <c r="J129" s="30"/>
      <c r="K129" s="30"/>
      <c r="L129" s="30"/>
      <c r="M129" s="30"/>
      <c r="N129" s="30"/>
      <c r="O129" s="30"/>
      <c r="P129" s="30"/>
      <c r="Q129" s="30"/>
      <c r="R129" s="30"/>
      <c r="S129" s="30"/>
    </row>
    <row r="130" spans="2:19" x14ac:dyDescent="0.3">
      <c r="B130" s="29"/>
      <c r="C130" s="29"/>
      <c r="D130" s="29"/>
      <c r="E130" s="67"/>
      <c r="F130" s="30"/>
      <c r="G130" s="30"/>
      <c r="H130" s="30"/>
      <c r="I130" s="30"/>
      <c r="J130" s="30"/>
      <c r="K130" s="30"/>
      <c r="L130" s="30"/>
      <c r="M130" s="30"/>
      <c r="N130" s="30"/>
      <c r="O130" s="30"/>
      <c r="P130" s="30"/>
      <c r="Q130" s="30"/>
      <c r="R130" s="30"/>
      <c r="S130" s="30"/>
    </row>
    <row r="131" spans="2:19" x14ac:dyDescent="0.3">
      <c r="B131" s="29"/>
      <c r="C131" s="29"/>
      <c r="D131" s="29"/>
      <c r="E131" s="67"/>
      <c r="F131" s="30"/>
      <c r="G131" s="30"/>
      <c r="H131" s="30"/>
      <c r="I131" s="30"/>
      <c r="J131" s="30"/>
      <c r="K131" s="30"/>
      <c r="L131" s="30"/>
      <c r="M131" s="30"/>
      <c r="N131" s="30"/>
      <c r="O131" s="30"/>
      <c r="P131" s="30"/>
      <c r="Q131" s="30"/>
      <c r="R131" s="30"/>
      <c r="S131" s="30"/>
    </row>
    <row r="132" spans="2:19" x14ac:dyDescent="0.3">
      <c r="B132" s="29"/>
      <c r="C132" s="29"/>
      <c r="D132" s="29"/>
      <c r="E132" s="67"/>
      <c r="F132" s="30"/>
      <c r="G132" s="30"/>
      <c r="H132" s="30"/>
      <c r="I132" s="30"/>
      <c r="J132" s="30"/>
      <c r="K132" s="30"/>
      <c r="L132" s="30"/>
      <c r="M132" s="30"/>
      <c r="N132" s="30"/>
      <c r="O132" s="30"/>
      <c r="P132" s="30"/>
      <c r="Q132" s="30"/>
      <c r="R132" s="30"/>
      <c r="S132" s="30"/>
    </row>
    <row r="133" spans="2:19" x14ac:dyDescent="0.3">
      <c r="B133" s="29"/>
      <c r="C133" s="29"/>
      <c r="D133" s="29"/>
      <c r="E133" s="67"/>
      <c r="F133" s="30"/>
      <c r="G133" s="30"/>
      <c r="H133" s="30"/>
      <c r="I133" s="30"/>
      <c r="J133" s="30"/>
      <c r="K133" s="30"/>
      <c r="L133" s="30"/>
      <c r="M133" s="30"/>
      <c r="N133" s="30"/>
      <c r="O133" s="30"/>
      <c r="P133" s="30"/>
      <c r="Q133" s="30"/>
      <c r="R133" s="30"/>
      <c r="S133" s="30"/>
    </row>
    <row r="134" spans="2:19" x14ac:dyDescent="0.3">
      <c r="B134" s="29"/>
      <c r="C134" s="29"/>
      <c r="D134" s="29"/>
      <c r="E134" s="67"/>
      <c r="F134" s="30"/>
      <c r="G134" s="30"/>
      <c r="H134" s="30"/>
      <c r="I134" s="30"/>
      <c r="J134" s="30"/>
      <c r="K134" s="30"/>
      <c r="L134" s="30"/>
      <c r="M134" s="30"/>
      <c r="N134" s="30"/>
      <c r="O134" s="30"/>
      <c r="P134" s="30"/>
      <c r="Q134" s="30"/>
      <c r="R134" s="30"/>
      <c r="S134" s="30"/>
    </row>
    <row r="135" spans="2:19" x14ac:dyDescent="0.3">
      <c r="B135" s="29"/>
      <c r="C135" s="29"/>
      <c r="D135" s="29"/>
      <c r="E135" s="67"/>
      <c r="F135" s="30"/>
      <c r="G135" s="30"/>
      <c r="H135" s="30"/>
      <c r="I135" s="30"/>
      <c r="J135" s="30"/>
      <c r="K135" s="30"/>
      <c r="L135" s="30"/>
      <c r="M135" s="30"/>
      <c r="N135" s="30"/>
      <c r="O135" s="30"/>
      <c r="P135" s="30"/>
      <c r="Q135" s="30"/>
      <c r="R135" s="30"/>
      <c r="S135" s="30"/>
    </row>
    <row r="136" spans="2:19" x14ac:dyDescent="0.3">
      <c r="B136" s="29"/>
      <c r="C136" s="29"/>
      <c r="D136" s="29"/>
      <c r="E136" s="67"/>
      <c r="F136" s="30"/>
      <c r="G136" s="30"/>
      <c r="H136" s="30"/>
      <c r="I136" s="30"/>
      <c r="J136" s="30"/>
      <c r="K136" s="30"/>
      <c r="L136" s="30"/>
      <c r="M136" s="30"/>
      <c r="N136" s="30"/>
      <c r="O136" s="30"/>
      <c r="P136" s="30"/>
      <c r="Q136" s="30"/>
      <c r="R136" s="30"/>
      <c r="S136" s="30"/>
    </row>
    <row r="137" spans="2:19" x14ac:dyDescent="0.3">
      <c r="B137" s="29"/>
      <c r="C137" s="29"/>
      <c r="D137" s="29"/>
      <c r="E137" s="67"/>
      <c r="F137" s="30"/>
      <c r="G137" s="30"/>
      <c r="H137" s="30"/>
      <c r="I137" s="30"/>
      <c r="J137" s="30"/>
      <c r="K137" s="30"/>
      <c r="L137" s="30"/>
      <c r="M137" s="30"/>
      <c r="N137" s="30"/>
      <c r="O137" s="30"/>
      <c r="P137" s="30"/>
      <c r="Q137" s="30"/>
      <c r="R137" s="30"/>
      <c r="S137" s="30"/>
    </row>
    <row r="138" spans="2:19" x14ac:dyDescent="0.3">
      <c r="B138" s="29"/>
      <c r="C138" s="29"/>
      <c r="D138" s="29"/>
      <c r="E138" s="67"/>
      <c r="F138" s="30"/>
      <c r="G138" s="30"/>
      <c r="H138" s="30"/>
      <c r="I138" s="30"/>
      <c r="J138" s="30"/>
      <c r="K138" s="30"/>
      <c r="L138" s="30"/>
      <c r="M138" s="30"/>
      <c r="N138" s="30"/>
      <c r="O138" s="30"/>
      <c r="P138" s="30"/>
      <c r="Q138" s="30"/>
      <c r="R138" s="30"/>
      <c r="S138" s="30"/>
    </row>
    <row r="139" spans="2:19" x14ac:dyDescent="0.3">
      <c r="B139" s="29"/>
      <c r="C139" s="29"/>
      <c r="D139" s="29"/>
      <c r="E139" s="67"/>
      <c r="F139" s="30"/>
      <c r="G139" s="30"/>
      <c r="H139" s="30"/>
      <c r="I139" s="30"/>
      <c r="J139" s="30"/>
      <c r="K139" s="30"/>
      <c r="L139" s="30"/>
      <c r="M139" s="30"/>
      <c r="N139" s="30"/>
      <c r="O139" s="30"/>
      <c r="P139" s="30"/>
      <c r="Q139" s="30"/>
      <c r="R139" s="30"/>
      <c r="S139" s="30"/>
    </row>
    <row r="140" spans="2:19" x14ac:dyDescent="0.3">
      <c r="B140" s="29"/>
      <c r="C140" s="29"/>
      <c r="D140" s="29"/>
      <c r="E140" s="67"/>
      <c r="F140" s="30"/>
      <c r="G140" s="30"/>
      <c r="H140" s="30"/>
      <c r="I140" s="30"/>
      <c r="J140" s="30"/>
      <c r="K140" s="30"/>
      <c r="L140" s="30"/>
      <c r="M140" s="30"/>
      <c r="N140" s="30"/>
      <c r="O140" s="30"/>
      <c r="P140" s="30"/>
      <c r="Q140" s="30"/>
      <c r="R140" s="30"/>
      <c r="S140" s="30"/>
    </row>
    <row r="141" spans="2:19" x14ac:dyDescent="0.3">
      <c r="B141" s="29"/>
      <c r="C141" s="29"/>
      <c r="D141" s="29"/>
      <c r="E141" s="67"/>
      <c r="F141" s="30"/>
      <c r="G141" s="30"/>
      <c r="H141" s="30"/>
      <c r="I141" s="30"/>
      <c r="J141" s="30"/>
      <c r="K141" s="30"/>
      <c r="L141" s="30"/>
      <c r="M141" s="30"/>
      <c r="N141" s="30"/>
      <c r="O141" s="30"/>
      <c r="P141" s="30"/>
      <c r="Q141" s="30"/>
      <c r="R141" s="30"/>
      <c r="S141" s="30"/>
    </row>
    <row r="142" spans="2:19" x14ac:dyDescent="0.3">
      <c r="B142" s="29"/>
      <c r="C142" s="29"/>
      <c r="D142" s="29"/>
      <c r="E142" s="67"/>
      <c r="F142" s="30"/>
      <c r="G142" s="30"/>
      <c r="H142" s="30"/>
      <c r="I142" s="30"/>
      <c r="J142" s="30"/>
      <c r="K142" s="30"/>
      <c r="L142" s="30"/>
      <c r="M142" s="30"/>
      <c r="N142" s="30"/>
      <c r="O142" s="30"/>
      <c r="P142" s="30"/>
      <c r="Q142" s="30"/>
      <c r="R142" s="30"/>
      <c r="S142" s="30"/>
    </row>
    <row r="143" spans="2:19" x14ac:dyDescent="0.3">
      <c r="B143" s="29"/>
      <c r="C143" s="29"/>
      <c r="D143" s="29"/>
      <c r="E143" s="67"/>
      <c r="F143" s="30"/>
      <c r="G143" s="30"/>
      <c r="H143" s="30"/>
      <c r="I143" s="30"/>
      <c r="J143" s="30"/>
      <c r="K143" s="30"/>
      <c r="L143" s="30"/>
      <c r="M143" s="30"/>
      <c r="N143" s="30"/>
      <c r="O143" s="30"/>
      <c r="P143" s="30"/>
      <c r="Q143" s="30"/>
      <c r="R143" s="30"/>
      <c r="S143" s="30"/>
    </row>
    <row r="144" spans="2:19" x14ac:dyDescent="0.3">
      <c r="B144" s="29"/>
      <c r="C144" s="29"/>
      <c r="D144" s="29"/>
      <c r="E144" s="67"/>
      <c r="F144" s="30"/>
      <c r="G144" s="30"/>
      <c r="H144" s="30"/>
      <c r="I144" s="30"/>
      <c r="J144" s="30"/>
      <c r="K144" s="30"/>
      <c r="L144" s="30"/>
      <c r="M144" s="30"/>
      <c r="N144" s="30"/>
      <c r="O144" s="30"/>
      <c r="P144" s="30"/>
      <c r="Q144" s="30"/>
      <c r="R144" s="30"/>
      <c r="S144" s="30"/>
    </row>
    <row r="145" spans="2:19" x14ac:dyDescent="0.3">
      <c r="B145" s="29"/>
      <c r="C145" s="29"/>
      <c r="D145" s="29"/>
      <c r="E145" s="67"/>
      <c r="F145" s="30"/>
      <c r="G145" s="30"/>
      <c r="H145" s="30"/>
      <c r="I145" s="30"/>
      <c r="J145" s="30"/>
      <c r="K145" s="30"/>
      <c r="L145" s="30"/>
      <c r="M145" s="30"/>
      <c r="N145" s="30"/>
      <c r="O145" s="30"/>
      <c r="P145" s="30"/>
      <c r="Q145" s="30"/>
      <c r="R145" s="30"/>
      <c r="S145" s="30"/>
    </row>
    <row r="146" spans="2:19" x14ac:dyDescent="0.3">
      <c r="B146" s="29"/>
      <c r="C146" s="29"/>
      <c r="D146" s="29"/>
      <c r="E146" s="67"/>
      <c r="F146" s="30"/>
      <c r="G146" s="30"/>
      <c r="H146" s="30"/>
      <c r="I146" s="30"/>
      <c r="J146" s="30"/>
      <c r="K146" s="30"/>
      <c r="L146" s="30"/>
      <c r="M146" s="30"/>
      <c r="N146" s="30"/>
      <c r="O146" s="30"/>
      <c r="P146" s="30"/>
      <c r="Q146" s="30"/>
      <c r="R146" s="30"/>
      <c r="S146" s="30"/>
    </row>
    <row r="147" spans="2:19" x14ac:dyDescent="0.3">
      <c r="B147" s="29"/>
      <c r="C147" s="29"/>
      <c r="D147" s="29"/>
      <c r="E147" s="67"/>
      <c r="F147" s="30"/>
      <c r="G147" s="30"/>
      <c r="H147" s="30"/>
      <c r="I147" s="30"/>
      <c r="J147" s="30"/>
      <c r="K147" s="30"/>
      <c r="L147" s="30"/>
      <c r="M147" s="30"/>
      <c r="N147" s="30"/>
      <c r="O147" s="30"/>
      <c r="P147" s="30"/>
      <c r="Q147" s="30"/>
      <c r="R147" s="30"/>
      <c r="S147" s="30"/>
    </row>
    <row r="148" spans="2:19" x14ac:dyDescent="0.3">
      <c r="B148" s="29"/>
      <c r="C148" s="29"/>
      <c r="D148" s="29"/>
      <c r="E148" s="67"/>
      <c r="F148" s="30"/>
      <c r="G148" s="30"/>
      <c r="H148" s="30"/>
      <c r="I148" s="30"/>
      <c r="J148" s="30"/>
      <c r="K148" s="30"/>
      <c r="L148" s="30"/>
      <c r="M148" s="30"/>
      <c r="N148" s="30"/>
      <c r="O148" s="30"/>
      <c r="P148" s="30"/>
      <c r="Q148" s="30"/>
      <c r="R148" s="30"/>
      <c r="S148" s="30"/>
    </row>
    <row r="149" spans="2:19" x14ac:dyDescent="0.3">
      <c r="B149" s="29"/>
      <c r="C149" s="29"/>
      <c r="D149" s="29"/>
      <c r="E149" s="67"/>
      <c r="F149" s="30"/>
      <c r="G149" s="30"/>
      <c r="H149" s="30"/>
      <c r="I149" s="30"/>
      <c r="J149" s="30"/>
      <c r="K149" s="30"/>
      <c r="L149" s="30"/>
      <c r="M149" s="30"/>
      <c r="N149" s="30"/>
      <c r="O149" s="30"/>
      <c r="P149" s="30"/>
      <c r="Q149" s="30"/>
      <c r="R149" s="30"/>
      <c r="S149" s="30"/>
    </row>
    <row r="150" spans="2:19" x14ac:dyDescent="0.3">
      <c r="B150" s="29"/>
      <c r="C150" s="29"/>
      <c r="D150" s="29"/>
      <c r="E150" s="67"/>
      <c r="F150" s="30"/>
      <c r="G150" s="30"/>
      <c r="H150" s="30"/>
      <c r="I150" s="30"/>
      <c r="J150" s="30"/>
      <c r="K150" s="30"/>
      <c r="L150" s="30"/>
      <c r="M150" s="30"/>
      <c r="N150" s="30"/>
      <c r="O150" s="30"/>
      <c r="P150" s="30"/>
      <c r="Q150" s="30"/>
      <c r="R150" s="30"/>
      <c r="S150" s="30"/>
    </row>
    <row r="151" spans="2:19" x14ac:dyDescent="0.3">
      <c r="B151" s="29"/>
      <c r="C151" s="29"/>
      <c r="D151" s="29"/>
      <c r="E151" s="67"/>
      <c r="F151" s="30"/>
      <c r="G151" s="30"/>
      <c r="H151" s="30"/>
      <c r="I151" s="30"/>
      <c r="J151" s="30"/>
      <c r="K151" s="30"/>
      <c r="L151" s="30"/>
      <c r="M151" s="30"/>
      <c r="N151" s="30"/>
      <c r="O151" s="30"/>
      <c r="P151" s="30"/>
      <c r="Q151" s="30"/>
      <c r="R151" s="30"/>
      <c r="S151" s="30"/>
    </row>
    <row r="152" spans="2:19" x14ac:dyDescent="0.3">
      <c r="B152" s="29"/>
      <c r="C152" s="29"/>
      <c r="D152" s="29"/>
      <c r="E152" s="67"/>
      <c r="F152" s="30"/>
      <c r="G152" s="30"/>
      <c r="H152" s="30"/>
      <c r="I152" s="30"/>
      <c r="J152" s="30"/>
      <c r="K152" s="30"/>
      <c r="L152" s="30"/>
      <c r="M152" s="30"/>
      <c r="N152" s="30"/>
      <c r="O152" s="30"/>
      <c r="P152" s="30"/>
      <c r="Q152" s="30"/>
      <c r="R152" s="30"/>
      <c r="S152" s="30"/>
    </row>
    <row r="153" spans="2:19" x14ac:dyDescent="0.3">
      <c r="B153" s="29"/>
      <c r="C153" s="29"/>
      <c r="D153" s="29"/>
      <c r="E153" s="67"/>
      <c r="F153" s="30"/>
      <c r="G153" s="30"/>
      <c r="H153" s="30"/>
      <c r="I153" s="30"/>
      <c r="J153" s="30"/>
      <c r="K153" s="30"/>
      <c r="L153" s="30"/>
      <c r="M153" s="30"/>
      <c r="N153" s="30"/>
      <c r="O153" s="30"/>
      <c r="P153" s="30"/>
      <c r="Q153" s="30"/>
      <c r="R153" s="30"/>
      <c r="S153" s="30"/>
    </row>
    <row r="154" spans="2:19" x14ac:dyDescent="0.3">
      <c r="B154" s="29"/>
      <c r="C154" s="29"/>
      <c r="D154" s="29"/>
      <c r="E154" s="67"/>
      <c r="F154" s="30"/>
      <c r="G154" s="30"/>
      <c r="H154" s="30"/>
      <c r="I154" s="30"/>
      <c r="J154" s="30"/>
      <c r="K154" s="30"/>
      <c r="L154" s="30"/>
      <c r="M154" s="30"/>
      <c r="N154" s="30"/>
      <c r="O154" s="30"/>
      <c r="P154" s="30"/>
      <c r="Q154" s="30"/>
      <c r="R154" s="30"/>
      <c r="S154" s="30"/>
    </row>
    <row r="155" spans="2:19" x14ac:dyDescent="0.3">
      <c r="B155" s="29"/>
      <c r="C155" s="29"/>
      <c r="D155" s="29"/>
      <c r="E155" s="67"/>
      <c r="F155" s="30"/>
      <c r="G155" s="30"/>
      <c r="H155" s="30"/>
      <c r="I155" s="30"/>
      <c r="J155" s="30"/>
      <c r="K155" s="30"/>
      <c r="L155" s="30"/>
      <c r="M155" s="30"/>
      <c r="N155" s="30"/>
      <c r="O155" s="30"/>
      <c r="P155" s="30"/>
      <c r="Q155" s="30"/>
      <c r="R155" s="30"/>
      <c r="S155" s="30"/>
    </row>
    <row r="156" spans="2:19" x14ac:dyDescent="0.3">
      <c r="B156" s="29"/>
      <c r="C156" s="29"/>
      <c r="D156" s="29"/>
      <c r="E156" s="67"/>
      <c r="F156" s="30"/>
      <c r="G156" s="30"/>
      <c r="H156" s="30"/>
      <c r="I156" s="30"/>
      <c r="J156" s="30"/>
      <c r="K156" s="30"/>
      <c r="L156" s="30"/>
      <c r="M156" s="30"/>
      <c r="N156" s="30"/>
      <c r="O156" s="30"/>
      <c r="P156" s="30"/>
      <c r="Q156" s="30"/>
      <c r="R156" s="30"/>
      <c r="S156" s="30"/>
    </row>
    <row r="157" spans="2:19" x14ac:dyDescent="0.3">
      <c r="B157" s="29"/>
      <c r="C157" s="29"/>
      <c r="D157" s="29"/>
      <c r="E157" s="67"/>
      <c r="F157" s="30"/>
      <c r="G157" s="30"/>
      <c r="H157" s="30"/>
      <c r="I157" s="30"/>
      <c r="J157" s="30"/>
      <c r="K157" s="30"/>
      <c r="L157" s="30"/>
      <c r="M157" s="30"/>
      <c r="N157" s="30"/>
      <c r="O157" s="30"/>
      <c r="P157" s="30"/>
      <c r="Q157" s="30"/>
      <c r="R157" s="30"/>
      <c r="S157" s="30"/>
    </row>
    <row r="158" spans="2:19" x14ac:dyDescent="0.3">
      <c r="B158" s="29"/>
      <c r="C158" s="29"/>
      <c r="D158" s="29"/>
      <c r="E158" s="67"/>
      <c r="F158" s="30"/>
      <c r="G158" s="30"/>
      <c r="H158" s="30"/>
      <c r="I158" s="30"/>
      <c r="J158" s="30"/>
      <c r="K158" s="30"/>
      <c r="L158" s="30"/>
      <c r="M158" s="30"/>
      <c r="N158" s="30"/>
      <c r="O158" s="30"/>
      <c r="P158" s="30"/>
      <c r="Q158" s="30"/>
      <c r="R158" s="30"/>
      <c r="S158" s="30"/>
    </row>
    <row r="159" spans="2:19" x14ac:dyDescent="0.3">
      <c r="B159" s="29"/>
      <c r="C159" s="29"/>
      <c r="D159" s="29"/>
      <c r="E159" s="67"/>
      <c r="F159" s="30"/>
      <c r="G159" s="30"/>
      <c r="H159" s="30"/>
      <c r="I159" s="30"/>
      <c r="J159" s="30"/>
      <c r="K159" s="30"/>
      <c r="L159" s="30"/>
      <c r="M159" s="30"/>
      <c r="N159" s="30"/>
      <c r="O159" s="30"/>
      <c r="P159" s="30"/>
      <c r="Q159" s="30"/>
      <c r="R159" s="30"/>
      <c r="S159" s="30"/>
    </row>
    <row r="160" spans="2:19" x14ac:dyDescent="0.3">
      <c r="B160" s="29"/>
      <c r="C160" s="29"/>
      <c r="D160" s="29"/>
      <c r="E160" s="67"/>
      <c r="F160" s="30"/>
      <c r="G160" s="30"/>
      <c r="H160" s="30"/>
      <c r="I160" s="30"/>
      <c r="J160" s="30"/>
      <c r="K160" s="30"/>
      <c r="L160" s="30"/>
      <c r="M160" s="30"/>
      <c r="N160" s="30"/>
      <c r="O160" s="30"/>
      <c r="P160" s="30"/>
      <c r="Q160" s="30"/>
      <c r="R160" s="30"/>
      <c r="S160" s="30"/>
    </row>
    <row r="161" spans="2:19" x14ac:dyDescent="0.3">
      <c r="B161" s="29"/>
      <c r="C161" s="29"/>
      <c r="D161" s="29"/>
      <c r="E161" s="67"/>
      <c r="F161" s="30"/>
      <c r="G161" s="30"/>
      <c r="H161" s="30"/>
      <c r="I161" s="30"/>
      <c r="J161" s="30"/>
      <c r="K161" s="30"/>
      <c r="L161" s="30"/>
      <c r="M161" s="30"/>
      <c r="N161" s="30"/>
      <c r="O161" s="30"/>
      <c r="P161" s="30"/>
      <c r="Q161" s="30"/>
      <c r="R161" s="30"/>
      <c r="S161" s="30"/>
    </row>
    <row r="162" spans="2:19" x14ac:dyDescent="0.3">
      <c r="B162" s="29"/>
      <c r="C162" s="29"/>
      <c r="D162" s="29"/>
      <c r="E162" s="67"/>
      <c r="F162" s="30"/>
      <c r="G162" s="30"/>
      <c r="H162" s="30"/>
      <c r="I162" s="30"/>
      <c r="J162" s="30"/>
      <c r="K162" s="30"/>
      <c r="L162" s="30"/>
      <c r="M162" s="30"/>
      <c r="N162" s="30"/>
      <c r="O162" s="30"/>
      <c r="P162" s="30"/>
      <c r="Q162" s="30"/>
      <c r="R162" s="30"/>
      <c r="S162" s="30"/>
    </row>
    <row r="163" spans="2:19" x14ac:dyDescent="0.3">
      <c r="B163" s="29"/>
      <c r="C163" s="29"/>
      <c r="D163" s="29"/>
      <c r="E163" s="67"/>
      <c r="F163" s="30"/>
      <c r="G163" s="30"/>
      <c r="H163" s="30"/>
      <c r="I163" s="30"/>
      <c r="J163" s="30"/>
      <c r="K163" s="30"/>
      <c r="L163" s="30"/>
      <c r="M163" s="30"/>
      <c r="N163" s="30"/>
      <c r="O163" s="30"/>
      <c r="P163" s="30"/>
      <c r="Q163" s="30"/>
      <c r="R163" s="30"/>
      <c r="S163" s="30"/>
    </row>
    <row r="164" spans="2:19" x14ac:dyDescent="0.3">
      <c r="B164" s="29"/>
      <c r="C164" s="29"/>
      <c r="D164" s="29"/>
      <c r="E164" s="67"/>
      <c r="F164" s="30"/>
      <c r="G164" s="30"/>
      <c r="H164" s="30"/>
      <c r="I164" s="30"/>
      <c r="J164" s="30"/>
      <c r="K164" s="30"/>
      <c r="L164" s="30"/>
      <c r="M164" s="30"/>
      <c r="N164" s="30"/>
      <c r="O164" s="30"/>
      <c r="P164" s="30"/>
      <c r="Q164" s="30"/>
      <c r="R164" s="30"/>
      <c r="S164" s="30"/>
    </row>
    <row r="165" spans="2:19" x14ac:dyDescent="0.3">
      <c r="B165" s="29"/>
      <c r="C165" s="29"/>
      <c r="D165" s="29"/>
      <c r="E165" s="67"/>
      <c r="F165" s="30"/>
      <c r="G165" s="30"/>
      <c r="H165" s="30"/>
      <c r="I165" s="30"/>
      <c r="J165" s="30"/>
      <c r="K165" s="30"/>
      <c r="L165" s="30"/>
      <c r="M165" s="30"/>
      <c r="N165" s="30"/>
      <c r="O165" s="30"/>
      <c r="P165" s="30"/>
      <c r="Q165" s="30"/>
      <c r="R165" s="30"/>
      <c r="S165" s="30"/>
    </row>
    <row r="166" spans="2:19" x14ac:dyDescent="0.3">
      <c r="B166" s="29"/>
      <c r="C166" s="29"/>
      <c r="D166" s="29"/>
      <c r="E166" s="67"/>
      <c r="F166" s="30"/>
      <c r="G166" s="30"/>
      <c r="H166" s="30"/>
      <c r="I166" s="30"/>
      <c r="J166" s="30"/>
      <c r="K166" s="30"/>
      <c r="L166" s="30"/>
      <c r="M166" s="30"/>
      <c r="N166" s="30"/>
      <c r="O166" s="30"/>
      <c r="P166" s="30"/>
      <c r="Q166" s="30"/>
      <c r="R166" s="30"/>
      <c r="S166" s="30"/>
    </row>
    <row r="167" spans="2:19" x14ac:dyDescent="0.3">
      <c r="B167" s="29"/>
      <c r="C167" s="29"/>
      <c r="D167" s="29"/>
      <c r="E167" s="67"/>
      <c r="F167" s="30"/>
      <c r="G167" s="30"/>
      <c r="H167" s="30"/>
      <c r="I167" s="30"/>
      <c r="J167" s="30"/>
      <c r="K167" s="30"/>
      <c r="L167" s="30"/>
      <c r="M167" s="30"/>
      <c r="N167" s="30"/>
      <c r="O167" s="30"/>
      <c r="P167" s="30"/>
      <c r="Q167" s="30"/>
      <c r="R167" s="30"/>
      <c r="S167" s="30"/>
    </row>
    <row r="168" spans="2:19" x14ac:dyDescent="0.3">
      <c r="B168" s="29"/>
      <c r="C168" s="29"/>
      <c r="D168" s="29"/>
      <c r="E168" s="67"/>
      <c r="F168" s="30"/>
      <c r="G168" s="30"/>
      <c r="H168" s="30"/>
      <c r="I168" s="30"/>
      <c r="J168" s="30"/>
      <c r="K168" s="30"/>
      <c r="L168" s="30"/>
      <c r="M168" s="30"/>
      <c r="N168" s="30"/>
      <c r="O168" s="30"/>
      <c r="P168" s="30"/>
      <c r="Q168" s="30"/>
      <c r="R168" s="30"/>
      <c r="S168" s="30"/>
    </row>
    <row r="169" spans="2:19" x14ac:dyDescent="0.3">
      <c r="B169" s="29"/>
      <c r="C169" s="29"/>
      <c r="D169" s="29"/>
      <c r="E169" s="67"/>
      <c r="F169" s="30"/>
      <c r="G169" s="30"/>
      <c r="H169" s="30"/>
      <c r="I169" s="30"/>
      <c r="J169" s="30"/>
      <c r="K169" s="30"/>
      <c r="L169" s="30"/>
      <c r="M169" s="30"/>
      <c r="N169" s="30"/>
      <c r="O169" s="30"/>
      <c r="P169" s="30"/>
      <c r="Q169" s="30"/>
      <c r="R169" s="30"/>
      <c r="S169" s="30"/>
    </row>
    <row r="170" spans="2:19" x14ac:dyDescent="0.3">
      <c r="B170" s="29"/>
      <c r="C170" s="29"/>
      <c r="D170" s="29"/>
      <c r="E170" s="67"/>
      <c r="F170" s="30"/>
      <c r="G170" s="30"/>
      <c r="H170" s="30"/>
      <c r="I170" s="30"/>
      <c r="J170" s="30"/>
      <c r="K170" s="30"/>
      <c r="L170" s="30"/>
      <c r="M170" s="30"/>
      <c r="N170" s="30"/>
      <c r="O170" s="30"/>
      <c r="P170" s="30"/>
      <c r="Q170" s="30"/>
      <c r="R170" s="30"/>
      <c r="S170" s="30"/>
    </row>
    <row r="171" spans="2:19" x14ac:dyDescent="0.3">
      <c r="B171" s="29"/>
      <c r="C171" s="29"/>
      <c r="D171" s="29"/>
      <c r="E171" s="67"/>
      <c r="F171" s="30"/>
      <c r="G171" s="30"/>
      <c r="H171" s="30"/>
      <c r="I171" s="30"/>
      <c r="J171" s="30"/>
      <c r="K171" s="30"/>
      <c r="L171" s="30"/>
      <c r="M171" s="30"/>
      <c r="N171" s="30"/>
      <c r="O171" s="30"/>
      <c r="P171" s="30"/>
      <c r="Q171" s="30"/>
      <c r="R171" s="30"/>
      <c r="S171" s="30"/>
    </row>
    <row r="172" spans="2:19" x14ac:dyDescent="0.3">
      <c r="B172" s="29"/>
      <c r="C172" s="29"/>
      <c r="D172" s="29"/>
      <c r="E172" s="67"/>
      <c r="F172" s="30"/>
      <c r="G172" s="30"/>
      <c r="H172" s="30"/>
      <c r="I172" s="30"/>
      <c r="J172" s="30"/>
      <c r="K172" s="30"/>
      <c r="L172" s="30"/>
      <c r="M172" s="30"/>
      <c r="N172" s="30"/>
      <c r="O172" s="30"/>
      <c r="P172" s="30"/>
      <c r="Q172" s="30"/>
      <c r="R172" s="30"/>
      <c r="S172" s="30"/>
    </row>
    <row r="173" spans="2:19" x14ac:dyDescent="0.3">
      <c r="B173" s="29"/>
      <c r="C173" s="29"/>
      <c r="D173" s="29"/>
      <c r="E173" s="67"/>
      <c r="F173" s="30"/>
      <c r="G173" s="30"/>
      <c r="H173" s="30"/>
      <c r="I173" s="30"/>
      <c r="J173" s="30"/>
      <c r="K173" s="30"/>
      <c r="L173" s="30"/>
      <c r="M173" s="30"/>
      <c r="N173" s="30"/>
      <c r="O173" s="30"/>
      <c r="P173" s="30"/>
      <c r="Q173" s="30"/>
      <c r="R173" s="30"/>
      <c r="S173" s="30"/>
    </row>
    <row r="174" spans="2:19" x14ac:dyDescent="0.3">
      <c r="B174" s="29"/>
      <c r="C174" s="29"/>
      <c r="D174" s="29"/>
      <c r="E174" s="67"/>
      <c r="F174" s="30"/>
      <c r="G174" s="30"/>
      <c r="H174" s="30"/>
      <c r="I174" s="30"/>
      <c r="J174" s="30"/>
      <c r="K174" s="30"/>
      <c r="L174" s="30"/>
      <c r="M174" s="30"/>
      <c r="N174" s="30"/>
      <c r="O174" s="30"/>
      <c r="P174" s="30"/>
      <c r="Q174" s="30"/>
      <c r="R174" s="30"/>
      <c r="S174" s="30"/>
    </row>
    <row r="175" spans="2:19" x14ac:dyDescent="0.3">
      <c r="B175" s="29"/>
      <c r="C175" s="29"/>
      <c r="D175" s="29"/>
      <c r="E175" s="67"/>
      <c r="F175" s="30"/>
      <c r="G175" s="30"/>
      <c r="H175" s="30"/>
      <c r="I175" s="30"/>
      <c r="J175" s="30"/>
      <c r="K175" s="30"/>
      <c r="L175" s="30"/>
      <c r="M175" s="30"/>
      <c r="N175" s="30"/>
      <c r="O175" s="30"/>
      <c r="P175" s="30"/>
      <c r="Q175" s="30"/>
      <c r="R175" s="30"/>
      <c r="S175" s="30"/>
    </row>
    <row r="176" spans="2:19" x14ac:dyDescent="0.3">
      <c r="B176" s="29"/>
      <c r="C176" s="29"/>
      <c r="D176" s="29"/>
      <c r="E176" s="67"/>
      <c r="F176" s="30"/>
      <c r="G176" s="30"/>
      <c r="H176" s="30"/>
      <c r="I176" s="30"/>
      <c r="J176" s="30"/>
      <c r="K176" s="30"/>
      <c r="L176" s="30"/>
      <c r="M176" s="30"/>
      <c r="N176" s="30"/>
      <c r="O176" s="30"/>
      <c r="P176" s="30"/>
      <c r="Q176" s="30"/>
      <c r="R176" s="30"/>
      <c r="S176" s="30"/>
    </row>
    <row r="177" spans="2:19" x14ac:dyDescent="0.3">
      <c r="B177" s="29"/>
      <c r="C177" s="29"/>
      <c r="D177" s="29"/>
      <c r="E177" s="67"/>
      <c r="F177" s="30"/>
      <c r="G177" s="30"/>
      <c r="H177" s="30"/>
      <c r="I177" s="30"/>
      <c r="J177" s="30"/>
      <c r="K177" s="30"/>
      <c r="L177" s="30"/>
      <c r="M177" s="30"/>
      <c r="N177" s="30"/>
      <c r="O177" s="30"/>
      <c r="P177" s="30"/>
      <c r="Q177" s="30"/>
      <c r="R177" s="30"/>
      <c r="S177" s="30"/>
    </row>
    <row r="178" spans="2:19" x14ac:dyDescent="0.3">
      <c r="B178" s="29"/>
      <c r="C178" s="29"/>
      <c r="D178" s="29"/>
      <c r="E178" s="67"/>
      <c r="F178" s="30"/>
      <c r="G178" s="30"/>
      <c r="H178" s="30"/>
      <c r="I178" s="30"/>
      <c r="J178" s="30"/>
      <c r="K178" s="30"/>
      <c r="L178" s="30"/>
      <c r="M178" s="30"/>
      <c r="N178" s="30"/>
      <c r="O178" s="30"/>
      <c r="P178" s="30"/>
      <c r="Q178" s="30"/>
      <c r="R178" s="30"/>
      <c r="S178" s="30"/>
    </row>
    <row r="179" spans="2:19" x14ac:dyDescent="0.3">
      <c r="B179" s="29"/>
      <c r="C179" s="29"/>
      <c r="D179" s="29"/>
      <c r="E179" s="67"/>
      <c r="F179" s="30"/>
      <c r="G179" s="30"/>
      <c r="H179" s="30"/>
      <c r="I179" s="30"/>
      <c r="J179" s="30"/>
      <c r="K179" s="30"/>
      <c r="L179" s="30"/>
      <c r="M179" s="30"/>
      <c r="N179" s="30"/>
      <c r="O179" s="30"/>
      <c r="P179" s="30"/>
      <c r="Q179" s="30"/>
      <c r="R179" s="30"/>
      <c r="S179" s="30"/>
    </row>
    <row r="180" spans="2:19" x14ac:dyDescent="0.3">
      <c r="B180" s="29"/>
      <c r="C180" s="29"/>
      <c r="D180" s="29"/>
      <c r="E180" s="67"/>
      <c r="F180" s="30"/>
      <c r="G180" s="30"/>
      <c r="H180" s="30"/>
      <c r="I180" s="30"/>
      <c r="J180" s="30"/>
      <c r="K180" s="30"/>
      <c r="L180" s="30"/>
      <c r="M180" s="30"/>
      <c r="N180" s="30"/>
      <c r="O180" s="30"/>
      <c r="P180" s="30"/>
      <c r="Q180" s="30"/>
      <c r="R180" s="30"/>
      <c r="S180" s="30"/>
    </row>
    <row r="181" spans="2:19" x14ac:dyDescent="0.3">
      <c r="B181" s="29"/>
      <c r="C181" s="29"/>
      <c r="D181" s="29"/>
      <c r="E181" s="67"/>
      <c r="F181" s="30"/>
      <c r="G181" s="30"/>
      <c r="H181" s="30"/>
      <c r="I181" s="30"/>
      <c r="J181" s="30"/>
      <c r="K181" s="30"/>
      <c r="L181" s="30"/>
      <c r="M181" s="30"/>
      <c r="N181" s="30"/>
      <c r="O181" s="30"/>
      <c r="P181" s="30"/>
      <c r="Q181" s="30"/>
      <c r="R181" s="30"/>
      <c r="S181" s="30"/>
    </row>
    <row r="182" spans="2:19" x14ac:dyDescent="0.3">
      <c r="B182" s="29"/>
      <c r="C182" s="29"/>
      <c r="D182" s="29"/>
      <c r="E182" s="67"/>
      <c r="F182" s="30"/>
      <c r="G182" s="30"/>
      <c r="H182" s="30"/>
      <c r="I182" s="30"/>
      <c r="J182" s="30"/>
      <c r="K182" s="30"/>
      <c r="L182" s="30"/>
      <c r="M182" s="30"/>
      <c r="N182" s="30"/>
      <c r="O182" s="30"/>
      <c r="P182" s="30"/>
      <c r="Q182" s="30"/>
      <c r="R182" s="30"/>
      <c r="S182" s="30"/>
    </row>
    <row r="183" spans="2:19" x14ac:dyDescent="0.3">
      <c r="B183" s="29"/>
      <c r="C183" s="29"/>
      <c r="D183" s="29"/>
      <c r="E183" s="67"/>
      <c r="F183" s="30"/>
      <c r="G183" s="30"/>
      <c r="H183" s="30"/>
      <c r="I183" s="30"/>
      <c r="J183" s="30"/>
      <c r="K183" s="30"/>
      <c r="L183" s="30"/>
      <c r="M183" s="30"/>
      <c r="N183" s="30"/>
      <c r="O183" s="30"/>
      <c r="P183" s="30"/>
      <c r="Q183" s="30"/>
      <c r="R183" s="30"/>
      <c r="S183" s="30"/>
    </row>
    <row r="184" spans="2:19" x14ac:dyDescent="0.3">
      <c r="B184" s="29"/>
      <c r="C184" s="29"/>
      <c r="D184" s="29"/>
      <c r="E184" s="67"/>
      <c r="F184" s="30"/>
      <c r="G184" s="30"/>
      <c r="H184" s="30"/>
      <c r="I184" s="30"/>
      <c r="J184" s="30"/>
      <c r="K184" s="30"/>
      <c r="L184" s="30"/>
      <c r="M184" s="30"/>
      <c r="N184" s="30"/>
      <c r="O184" s="30"/>
      <c r="P184" s="30"/>
      <c r="Q184" s="30"/>
      <c r="R184" s="30"/>
      <c r="S184" s="30"/>
    </row>
    <row r="185" spans="2:19" x14ac:dyDescent="0.3">
      <c r="B185" s="29"/>
      <c r="C185" s="29"/>
      <c r="D185" s="29"/>
      <c r="E185" s="67"/>
      <c r="F185" s="30"/>
      <c r="G185" s="30"/>
      <c r="H185" s="30"/>
      <c r="I185" s="30"/>
      <c r="J185" s="30"/>
      <c r="K185" s="30"/>
      <c r="L185" s="30"/>
      <c r="M185" s="30"/>
      <c r="N185" s="30"/>
      <c r="O185" s="30"/>
      <c r="P185" s="30"/>
      <c r="Q185" s="30"/>
      <c r="R185" s="30"/>
      <c r="S185" s="30"/>
    </row>
    <row r="186" spans="2:19" x14ac:dyDescent="0.3">
      <c r="B186" s="29"/>
      <c r="C186" s="29"/>
      <c r="D186" s="29"/>
      <c r="E186" s="67"/>
      <c r="F186" s="30"/>
      <c r="G186" s="30"/>
      <c r="H186" s="30"/>
      <c r="I186" s="30"/>
      <c r="J186" s="30"/>
      <c r="K186" s="30"/>
      <c r="L186" s="30"/>
      <c r="M186" s="30"/>
      <c r="N186" s="30"/>
      <c r="O186" s="30"/>
      <c r="P186" s="30"/>
      <c r="Q186" s="30"/>
      <c r="R186" s="30"/>
      <c r="S186" s="30"/>
    </row>
    <row r="187" spans="2:19" x14ac:dyDescent="0.3">
      <c r="B187" s="29"/>
      <c r="C187" s="29"/>
      <c r="D187" s="29"/>
      <c r="E187" s="67"/>
      <c r="F187" s="30"/>
      <c r="G187" s="30"/>
      <c r="H187" s="30"/>
      <c r="I187" s="30"/>
      <c r="J187" s="30"/>
      <c r="K187" s="30"/>
      <c r="L187" s="30"/>
      <c r="M187" s="30"/>
      <c r="N187" s="30"/>
      <c r="O187" s="30"/>
      <c r="P187" s="30"/>
      <c r="Q187" s="30"/>
      <c r="R187" s="30"/>
      <c r="S187" s="30"/>
    </row>
    <row r="188" spans="2:19" x14ac:dyDescent="0.3">
      <c r="B188" s="29"/>
      <c r="C188" s="29"/>
      <c r="D188" s="29"/>
      <c r="E188" s="67"/>
      <c r="F188" s="30"/>
      <c r="G188" s="30"/>
      <c r="H188" s="30"/>
      <c r="I188" s="30"/>
      <c r="J188" s="30"/>
      <c r="K188" s="30"/>
      <c r="L188" s="30"/>
      <c r="M188" s="30"/>
      <c r="N188" s="30"/>
      <c r="O188" s="30"/>
      <c r="P188" s="30"/>
      <c r="Q188" s="30"/>
      <c r="R188" s="30"/>
      <c r="S188" s="30"/>
    </row>
    <row r="189" spans="2:19" x14ac:dyDescent="0.3">
      <c r="B189" s="29"/>
      <c r="C189" s="29"/>
      <c r="D189" s="29"/>
      <c r="E189" s="67"/>
      <c r="F189" s="30"/>
      <c r="G189" s="30"/>
      <c r="H189" s="30"/>
      <c r="I189" s="30"/>
      <c r="J189" s="30"/>
      <c r="K189" s="30"/>
      <c r="L189" s="30"/>
      <c r="M189" s="30"/>
      <c r="N189" s="30"/>
      <c r="O189" s="30"/>
      <c r="P189" s="30"/>
      <c r="Q189" s="30"/>
      <c r="R189" s="30"/>
      <c r="S189" s="30"/>
    </row>
    <row r="190" spans="2:19" x14ac:dyDescent="0.3">
      <c r="B190" s="29"/>
      <c r="C190" s="29"/>
      <c r="D190" s="29"/>
      <c r="E190" s="67"/>
      <c r="F190" s="30"/>
      <c r="G190" s="30"/>
      <c r="H190" s="30"/>
      <c r="I190" s="30"/>
      <c r="J190" s="30"/>
      <c r="K190" s="30"/>
      <c r="L190" s="30"/>
      <c r="M190" s="30"/>
      <c r="N190" s="30"/>
      <c r="O190" s="30"/>
      <c r="P190" s="30"/>
      <c r="Q190" s="30"/>
      <c r="R190" s="30"/>
      <c r="S190" s="30"/>
    </row>
    <row r="191" spans="2:19" x14ac:dyDescent="0.3">
      <c r="B191" s="29"/>
      <c r="C191" s="29"/>
      <c r="D191" s="29"/>
      <c r="E191" s="67"/>
      <c r="F191" s="30"/>
      <c r="G191" s="30"/>
      <c r="H191" s="30"/>
      <c r="I191" s="30"/>
      <c r="J191" s="30"/>
      <c r="K191" s="30"/>
      <c r="L191" s="30"/>
      <c r="M191" s="30"/>
      <c r="N191" s="30"/>
      <c r="O191" s="30"/>
      <c r="P191" s="30"/>
      <c r="Q191" s="30"/>
      <c r="R191" s="30"/>
      <c r="S191" s="30"/>
    </row>
    <row r="192" spans="2:19" x14ac:dyDescent="0.3">
      <c r="B192" s="29"/>
      <c r="C192" s="29"/>
      <c r="D192" s="29"/>
      <c r="E192" s="67"/>
      <c r="F192" s="30"/>
      <c r="G192" s="30"/>
      <c r="H192" s="30"/>
      <c r="I192" s="30"/>
      <c r="J192" s="30"/>
      <c r="K192" s="30"/>
      <c r="L192" s="30"/>
      <c r="M192" s="30"/>
      <c r="N192" s="30"/>
      <c r="O192" s="30"/>
      <c r="P192" s="30"/>
      <c r="Q192" s="30"/>
      <c r="R192" s="30"/>
      <c r="S192" s="30"/>
    </row>
    <row r="193" spans="2:19" x14ac:dyDescent="0.3">
      <c r="B193" s="29"/>
      <c r="C193" s="29"/>
      <c r="D193" s="29"/>
      <c r="E193" s="67"/>
      <c r="F193" s="30"/>
      <c r="G193" s="30"/>
      <c r="H193" s="30"/>
      <c r="I193" s="30"/>
      <c r="J193" s="30"/>
      <c r="K193" s="30"/>
      <c r="L193" s="30"/>
      <c r="M193" s="30"/>
      <c r="N193" s="30"/>
      <c r="O193" s="30"/>
      <c r="P193" s="30"/>
      <c r="Q193" s="30"/>
      <c r="R193" s="30"/>
      <c r="S193" s="30"/>
    </row>
    <row r="194" spans="2:19" x14ac:dyDescent="0.3">
      <c r="B194" s="29"/>
      <c r="C194" s="29"/>
      <c r="D194" s="29"/>
      <c r="E194" s="67"/>
      <c r="F194" s="30"/>
      <c r="G194" s="30"/>
      <c r="H194" s="30"/>
      <c r="I194" s="30"/>
      <c r="J194" s="30"/>
      <c r="K194" s="30"/>
      <c r="L194" s="30"/>
      <c r="M194" s="30"/>
      <c r="N194" s="30"/>
      <c r="O194" s="30"/>
      <c r="P194" s="30"/>
      <c r="Q194" s="30"/>
      <c r="R194" s="30"/>
      <c r="S194" s="30"/>
    </row>
    <row r="195" spans="2:19" x14ac:dyDescent="0.3">
      <c r="B195" s="29"/>
      <c r="C195" s="29"/>
      <c r="D195" s="29"/>
      <c r="E195" s="67"/>
      <c r="F195" s="30"/>
      <c r="G195" s="30"/>
      <c r="H195" s="30"/>
      <c r="I195" s="30"/>
      <c r="J195" s="30"/>
      <c r="K195" s="30"/>
      <c r="L195" s="30"/>
      <c r="M195" s="30"/>
      <c r="N195" s="30"/>
      <c r="O195" s="30"/>
      <c r="P195" s="30"/>
      <c r="Q195" s="30"/>
      <c r="R195" s="30"/>
      <c r="S195" s="30"/>
    </row>
    <row r="196" spans="2:19" x14ac:dyDescent="0.3">
      <c r="B196" s="29"/>
      <c r="C196" s="29"/>
      <c r="D196" s="29"/>
      <c r="E196" s="67"/>
      <c r="F196" s="30"/>
      <c r="G196" s="30"/>
      <c r="H196" s="30"/>
      <c r="I196" s="30"/>
      <c r="J196" s="30"/>
      <c r="K196" s="30"/>
      <c r="L196" s="30"/>
      <c r="M196" s="30"/>
      <c r="N196" s="30"/>
      <c r="O196" s="30"/>
      <c r="P196" s="30"/>
      <c r="Q196" s="30"/>
      <c r="R196" s="30"/>
      <c r="S196" s="30"/>
    </row>
    <row r="197" spans="2:19" x14ac:dyDescent="0.3">
      <c r="B197" s="29"/>
      <c r="C197" s="29"/>
      <c r="D197" s="29"/>
      <c r="E197" s="67"/>
      <c r="F197" s="30"/>
      <c r="G197" s="30"/>
      <c r="H197" s="30"/>
      <c r="I197" s="30"/>
      <c r="J197" s="30"/>
      <c r="K197" s="30"/>
      <c r="L197" s="30"/>
      <c r="M197" s="30"/>
      <c r="N197" s="30"/>
      <c r="O197" s="30"/>
      <c r="P197" s="30"/>
      <c r="Q197" s="30"/>
      <c r="R197" s="30"/>
      <c r="S197" s="30"/>
    </row>
    <row r="198" spans="2:19" x14ac:dyDescent="0.3">
      <c r="B198" s="29"/>
      <c r="C198" s="29"/>
      <c r="D198" s="29"/>
      <c r="E198" s="67"/>
      <c r="F198" s="30"/>
      <c r="G198" s="30"/>
      <c r="H198" s="30"/>
      <c r="I198" s="30"/>
      <c r="J198" s="30"/>
      <c r="K198" s="30"/>
      <c r="L198" s="30"/>
      <c r="M198" s="30"/>
      <c r="N198" s="30"/>
      <c r="O198" s="30"/>
      <c r="P198" s="30"/>
      <c r="Q198" s="30"/>
      <c r="R198" s="30"/>
      <c r="S198" s="30"/>
    </row>
    <row r="199" spans="2:19" x14ac:dyDescent="0.3">
      <c r="B199" s="29"/>
      <c r="C199" s="29"/>
      <c r="D199" s="29"/>
      <c r="E199" s="67"/>
      <c r="F199" s="30"/>
      <c r="G199" s="30"/>
      <c r="H199" s="30"/>
      <c r="I199" s="30"/>
      <c r="J199" s="30"/>
      <c r="K199" s="30"/>
      <c r="L199" s="30"/>
      <c r="M199" s="30"/>
      <c r="N199" s="30"/>
      <c r="O199" s="30"/>
      <c r="P199" s="30"/>
      <c r="Q199" s="30"/>
      <c r="R199" s="30"/>
      <c r="S199" s="30"/>
    </row>
    <row r="200" spans="2:19" x14ac:dyDescent="0.3">
      <c r="B200" s="29"/>
      <c r="C200" s="29"/>
      <c r="D200" s="29"/>
      <c r="E200" s="67"/>
      <c r="F200" s="30"/>
      <c r="G200" s="30"/>
      <c r="H200" s="30"/>
      <c r="I200" s="30"/>
      <c r="J200" s="30"/>
      <c r="K200" s="30"/>
      <c r="L200" s="30"/>
      <c r="M200" s="30"/>
      <c r="N200" s="30"/>
      <c r="O200" s="30"/>
      <c r="P200" s="30"/>
      <c r="Q200" s="30"/>
      <c r="R200" s="30"/>
      <c r="S200" s="30"/>
    </row>
    <row r="201" spans="2:19" x14ac:dyDescent="0.3">
      <c r="B201" s="29"/>
      <c r="C201" s="29"/>
      <c r="D201" s="29"/>
      <c r="E201" s="67"/>
      <c r="F201" s="30"/>
      <c r="G201" s="30"/>
      <c r="H201" s="30"/>
      <c r="I201" s="30"/>
      <c r="J201" s="30"/>
      <c r="K201" s="30"/>
      <c r="L201" s="30"/>
      <c r="M201" s="30"/>
      <c r="N201" s="30"/>
      <c r="O201" s="30"/>
      <c r="P201" s="30"/>
      <c r="Q201" s="30"/>
      <c r="R201" s="30"/>
      <c r="S201" s="30"/>
    </row>
    <row r="202" spans="2:19" x14ac:dyDescent="0.3">
      <c r="B202" s="29"/>
      <c r="C202" s="29"/>
      <c r="D202" s="29"/>
      <c r="E202" s="67"/>
      <c r="F202" s="30"/>
      <c r="G202" s="30"/>
      <c r="H202" s="30"/>
      <c r="I202" s="30"/>
      <c r="J202" s="30"/>
      <c r="K202" s="30"/>
      <c r="L202" s="30"/>
      <c r="M202" s="30"/>
      <c r="N202" s="30"/>
      <c r="O202" s="30"/>
      <c r="P202" s="30"/>
      <c r="Q202" s="30"/>
      <c r="R202" s="30"/>
      <c r="S202" s="30"/>
    </row>
    <row r="203" spans="2:19" x14ac:dyDescent="0.3">
      <c r="B203" s="29"/>
      <c r="C203" s="29"/>
      <c r="D203" s="29"/>
      <c r="E203" s="67"/>
      <c r="F203" s="30"/>
      <c r="G203" s="30"/>
      <c r="H203" s="30"/>
      <c r="I203" s="30"/>
      <c r="J203" s="30"/>
      <c r="K203" s="30"/>
      <c r="L203" s="30"/>
      <c r="M203" s="30"/>
      <c r="N203" s="30"/>
      <c r="O203" s="30"/>
      <c r="P203" s="30"/>
      <c r="Q203" s="30"/>
      <c r="R203" s="30"/>
      <c r="S203" s="30"/>
    </row>
    <row r="204" spans="2:19" x14ac:dyDescent="0.3">
      <c r="B204" s="29"/>
      <c r="C204" s="29"/>
      <c r="D204" s="29"/>
      <c r="E204" s="67"/>
      <c r="F204" s="30"/>
      <c r="G204" s="30"/>
      <c r="H204" s="30"/>
      <c r="I204" s="30"/>
      <c r="J204" s="30"/>
      <c r="K204" s="30"/>
      <c r="L204" s="30"/>
      <c r="M204" s="30"/>
      <c r="N204" s="30"/>
      <c r="O204" s="30"/>
      <c r="P204" s="30"/>
      <c r="Q204" s="30"/>
      <c r="R204" s="30"/>
      <c r="S204" s="30"/>
    </row>
    <row r="205" spans="2:19" x14ac:dyDescent="0.3">
      <c r="B205" s="29"/>
      <c r="C205" s="29"/>
      <c r="D205" s="29"/>
      <c r="E205" s="67"/>
      <c r="F205" s="30"/>
      <c r="G205" s="30"/>
      <c r="H205" s="30"/>
      <c r="I205" s="30"/>
      <c r="J205" s="30"/>
      <c r="K205" s="30"/>
      <c r="L205" s="30"/>
      <c r="M205" s="30"/>
      <c r="N205" s="30"/>
      <c r="O205" s="30"/>
      <c r="P205" s="30"/>
      <c r="Q205" s="30"/>
      <c r="R205" s="30"/>
      <c r="S205" s="30"/>
    </row>
    <row r="206" spans="2:19" x14ac:dyDescent="0.3">
      <c r="B206" s="29"/>
      <c r="C206" s="29"/>
      <c r="D206" s="29"/>
      <c r="E206" s="67"/>
      <c r="F206" s="30"/>
      <c r="G206" s="30"/>
      <c r="H206" s="30"/>
      <c r="I206" s="30"/>
      <c r="J206" s="30"/>
      <c r="K206" s="30"/>
      <c r="L206" s="30"/>
      <c r="M206" s="30"/>
      <c r="N206" s="30"/>
      <c r="O206" s="30"/>
      <c r="P206" s="30"/>
      <c r="Q206" s="30"/>
      <c r="R206" s="30"/>
      <c r="S206" s="30"/>
    </row>
    <row r="207" spans="2:19" x14ac:dyDescent="0.3">
      <c r="B207" s="29"/>
      <c r="C207" s="29"/>
      <c r="D207" s="29"/>
      <c r="E207" s="67"/>
      <c r="F207" s="30"/>
      <c r="G207" s="30"/>
      <c r="H207" s="30"/>
      <c r="I207" s="30"/>
      <c r="J207" s="30"/>
      <c r="K207" s="30"/>
      <c r="L207" s="30"/>
      <c r="M207" s="30"/>
      <c r="N207" s="30"/>
      <c r="O207" s="30"/>
      <c r="P207" s="30"/>
      <c r="Q207" s="30"/>
      <c r="R207" s="30"/>
      <c r="S207" s="30"/>
    </row>
    <row r="208" spans="2:19" x14ac:dyDescent="0.3">
      <c r="B208" s="29"/>
      <c r="C208" s="29"/>
      <c r="D208" s="29"/>
      <c r="E208" s="67"/>
      <c r="F208" s="30"/>
      <c r="G208" s="30"/>
      <c r="H208" s="30"/>
      <c r="I208" s="30"/>
      <c r="J208" s="30"/>
      <c r="K208" s="30"/>
      <c r="L208" s="30"/>
      <c r="M208" s="30"/>
      <c r="N208" s="30"/>
      <c r="O208" s="30"/>
      <c r="P208" s="30"/>
      <c r="Q208" s="30"/>
      <c r="R208" s="30"/>
      <c r="S208" s="30"/>
    </row>
    <row r="209" spans="2:19" x14ac:dyDescent="0.3">
      <c r="B209" s="29"/>
      <c r="C209" s="29"/>
      <c r="D209" s="29"/>
      <c r="E209" s="67"/>
      <c r="F209" s="30"/>
      <c r="G209" s="30"/>
      <c r="H209" s="30"/>
      <c r="I209" s="30"/>
      <c r="J209" s="30"/>
      <c r="K209" s="30"/>
      <c r="L209" s="30"/>
      <c r="M209" s="30"/>
      <c r="N209" s="30"/>
      <c r="O209" s="30"/>
      <c r="P209" s="30"/>
      <c r="Q209" s="30"/>
      <c r="R209" s="30"/>
      <c r="S209" s="30"/>
    </row>
    <row r="210" spans="2:19" x14ac:dyDescent="0.3">
      <c r="B210" s="29"/>
      <c r="C210" s="29"/>
      <c r="D210" s="29"/>
      <c r="E210" s="67"/>
      <c r="F210" s="30"/>
      <c r="G210" s="30"/>
      <c r="H210" s="30"/>
      <c r="I210" s="30"/>
      <c r="J210" s="30"/>
      <c r="K210" s="30"/>
      <c r="L210" s="30"/>
      <c r="M210" s="30"/>
      <c r="N210" s="30"/>
      <c r="O210" s="30"/>
      <c r="P210" s="30"/>
      <c r="Q210" s="30"/>
      <c r="R210" s="30"/>
      <c r="S210" s="30"/>
    </row>
    <row r="211" spans="2:19" x14ac:dyDescent="0.3">
      <c r="B211" s="29"/>
      <c r="C211" s="29"/>
      <c r="D211" s="29"/>
      <c r="E211" s="67"/>
      <c r="F211" s="30"/>
      <c r="G211" s="30"/>
      <c r="H211" s="30"/>
      <c r="I211" s="30"/>
      <c r="J211" s="30"/>
      <c r="K211" s="30"/>
      <c r="L211" s="30"/>
      <c r="M211" s="30"/>
      <c r="N211" s="30"/>
      <c r="O211" s="30"/>
      <c r="P211" s="30"/>
      <c r="Q211" s="30"/>
      <c r="R211" s="30"/>
      <c r="S211" s="30"/>
    </row>
    <row r="212" spans="2:19" x14ac:dyDescent="0.3">
      <c r="B212" s="29"/>
      <c r="C212" s="29"/>
      <c r="D212" s="29"/>
      <c r="E212" s="67"/>
      <c r="F212" s="30"/>
      <c r="G212" s="30"/>
      <c r="H212" s="30"/>
      <c r="I212" s="30"/>
      <c r="J212" s="30"/>
      <c r="K212" s="30"/>
      <c r="L212" s="30"/>
      <c r="M212" s="30"/>
      <c r="N212" s="30"/>
      <c r="O212" s="30"/>
      <c r="P212" s="30"/>
      <c r="Q212" s="30"/>
      <c r="R212" s="30"/>
      <c r="S212" s="30"/>
    </row>
    <row r="213" spans="2:19" x14ac:dyDescent="0.3">
      <c r="B213" s="29"/>
      <c r="C213" s="29"/>
      <c r="D213" s="29"/>
      <c r="E213" s="67"/>
      <c r="F213" s="30"/>
      <c r="G213" s="30"/>
      <c r="H213" s="30"/>
      <c r="I213" s="30"/>
      <c r="J213" s="30"/>
      <c r="K213" s="30"/>
      <c r="L213" s="30"/>
      <c r="M213" s="30"/>
      <c r="N213" s="30"/>
      <c r="O213" s="30"/>
      <c r="P213" s="30"/>
      <c r="Q213" s="30"/>
      <c r="R213" s="30"/>
      <c r="S213" s="30"/>
    </row>
    <row r="214" spans="2:19" x14ac:dyDescent="0.3">
      <c r="B214" s="29"/>
      <c r="C214" s="29"/>
      <c r="D214" s="29"/>
      <c r="E214" s="67"/>
      <c r="F214" s="30"/>
      <c r="G214" s="30"/>
      <c r="H214" s="30"/>
      <c r="I214" s="30"/>
      <c r="J214" s="30"/>
      <c r="K214" s="30"/>
      <c r="L214" s="30"/>
      <c r="M214" s="30"/>
      <c r="N214" s="30"/>
      <c r="O214" s="30"/>
      <c r="P214" s="30"/>
      <c r="Q214" s="30"/>
      <c r="R214" s="30"/>
      <c r="S214" s="30"/>
    </row>
    <row r="215" spans="2:19" x14ac:dyDescent="0.3">
      <c r="B215" s="29"/>
      <c r="C215" s="29"/>
      <c r="D215" s="29"/>
      <c r="E215" s="67"/>
      <c r="F215" s="30"/>
      <c r="G215" s="30"/>
      <c r="H215" s="30"/>
      <c r="I215" s="30"/>
      <c r="J215" s="30"/>
      <c r="K215" s="30"/>
      <c r="L215" s="30"/>
      <c r="M215" s="30"/>
      <c r="N215" s="30"/>
      <c r="O215" s="30"/>
      <c r="P215" s="30"/>
      <c r="Q215" s="30"/>
      <c r="R215" s="30"/>
      <c r="S215" s="30"/>
    </row>
    <row r="216" spans="2:19" x14ac:dyDescent="0.3">
      <c r="B216" s="29"/>
      <c r="C216" s="29"/>
      <c r="D216" s="29"/>
      <c r="E216" s="67"/>
      <c r="F216" s="30"/>
      <c r="G216" s="30"/>
      <c r="H216" s="30"/>
      <c r="I216" s="30"/>
      <c r="J216" s="30"/>
      <c r="K216" s="30"/>
      <c r="L216" s="30"/>
      <c r="M216" s="30"/>
      <c r="N216" s="30"/>
      <c r="O216" s="30"/>
      <c r="P216" s="30"/>
      <c r="Q216" s="30"/>
      <c r="R216" s="30"/>
      <c r="S216" s="30"/>
    </row>
    <row r="217" spans="2:19" x14ac:dyDescent="0.3">
      <c r="B217" s="29"/>
      <c r="C217" s="29"/>
      <c r="D217" s="29"/>
      <c r="E217" s="67"/>
      <c r="F217" s="30"/>
      <c r="G217" s="30"/>
      <c r="H217" s="30"/>
      <c r="I217" s="30"/>
      <c r="J217" s="30"/>
      <c r="K217" s="30"/>
      <c r="L217" s="30"/>
      <c r="M217" s="30"/>
      <c r="N217" s="30"/>
      <c r="O217" s="30"/>
      <c r="P217" s="30"/>
      <c r="Q217" s="30"/>
      <c r="R217" s="30"/>
      <c r="S217" s="30"/>
    </row>
    <row r="218" spans="2:19" x14ac:dyDescent="0.3">
      <c r="B218" s="29"/>
      <c r="C218" s="29"/>
      <c r="D218" s="29"/>
      <c r="E218" s="67"/>
      <c r="F218" s="30"/>
      <c r="G218" s="30"/>
      <c r="H218" s="30"/>
      <c r="I218" s="30"/>
      <c r="J218" s="30"/>
      <c r="K218" s="30"/>
      <c r="L218" s="30"/>
      <c r="M218" s="30"/>
      <c r="N218" s="30"/>
      <c r="O218" s="30"/>
      <c r="P218" s="30"/>
      <c r="Q218" s="30"/>
      <c r="R218" s="30"/>
      <c r="S218" s="30"/>
    </row>
    <row r="219" spans="2:19" x14ac:dyDescent="0.3">
      <c r="B219" s="29"/>
      <c r="C219" s="29"/>
      <c r="D219" s="29"/>
      <c r="E219" s="67"/>
      <c r="F219" s="30"/>
      <c r="G219" s="30"/>
      <c r="H219" s="30"/>
      <c r="I219" s="30"/>
      <c r="J219" s="30"/>
      <c r="K219" s="30"/>
      <c r="L219" s="30"/>
      <c r="M219" s="30"/>
      <c r="N219" s="30"/>
      <c r="O219" s="30"/>
      <c r="P219" s="30"/>
      <c r="Q219" s="30"/>
      <c r="R219" s="30"/>
      <c r="S219" s="30"/>
    </row>
    <row r="220" spans="2:19" x14ac:dyDescent="0.3">
      <c r="B220" s="29"/>
      <c r="C220" s="29"/>
      <c r="D220" s="29"/>
      <c r="E220" s="67"/>
      <c r="F220" s="30"/>
      <c r="G220" s="30"/>
      <c r="H220" s="30"/>
      <c r="I220" s="30"/>
      <c r="J220" s="30"/>
      <c r="K220" s="30"/>
      <c r="L220" s="30"/>
      <c r="M220" s="30"/>
      <c r="N220" s="30"/>
      <c r="O220" s="30"/>
      <c r="P220" s="30"/>
      <c r="Q220" s="30"/>
      <c r="R220" s="30"/>
      <c r="S220" s="30"/>
    </row>
    <row r="221" spans="2:19" x14ac:dyDescent="0.3">
      <c r="B221" s="29"/>
      <c r="C221" s="29"/>
      <c r="D221" s="29"/>
      <c r="E221" s="67"/>
      <c r="F221" s="30"/>
      <c r="G221" s="30"/>
      <c r="H221" s="30"/>
      <c r="I221" s="30"/>
      <c r="J221" s="30"/>
      <c r="K221" s="30"/>
      <c r="L221" s="30"/>
      <c r="M221" s="30"/>
      <c r="N221" s="30"/>
      <c r="O221" s="30"/>
      <c r="P221" s="30"/>
      <c r="Q221" s="30"/>
      <c r="R221" s="30"/>
      <c r="S221" s="30"/>
    </row>
    <row r="222" spans="2:19" x14ac:dyDescent="0.3">
      <c r="B222" s="29"/>
      <c r="C222" s="29"/>
      <c r="D222" s="29"/>
      <c r="E222" s="67"/>
      <c r="F222" s="30"/>
      <c r="G222" s="30"/>
      <c r="H222" s="30"/>
      <c r="I222" s="30"/>
      <c r="J222" s="30"/>
      <c r="K222" s="30"/>
      <c r="L222" s="30"/>
      <c r="M222" s="30"/>
      <c r="N222" s="30"/>
      <c r="O222" s="30"/>
      <c r="P222" s="30"/>
      <c r="Q222" s="30"/>
      <c r="R222" s="30"/>
      <c r="S222" s="30"/>
    </row>
    <row r="223" spans="2:19" x14ac:dyDescent="0.3">
      <c r="B223" s="29"/>
      <c r="C223" s="29"/>
      <c r="D223" s="29"/>
      <c r="E223" s="67"/>
      <c r="F223" s="30"/>
      <c r="G223" s="30"/>
      <c r="H223" s="30"/>
      <c r="I223" s="30"/>
      <c r="J223" s="30"/>
      <c r="K223" s="30"/>
      <c r="L223" s="30"/>
      <c r="M223" s="30"/>
      <c r="N223" s="30"/>
      <c r="O223" s="30"/>
      <c r="P223" s="30"/>
      <c r="Q223" s="30"/>
      <c r="R223" s="30"/>
      <c r="S223" s="30"/>
    </row>
    <row r="224" spans="2:19" x14ac:dyDescent="0.3">
      <c r="B224" s="29"/>
      <c r="C224" s="29"/>
      <c r="D224" s="29"/>
      <c r="E224" s="67"/>
      <c r="F224" s="30"/>
      <c r="G224" s="30"/>
      <c r="H224" s="30"/>
      <c r="I224" s="30"/>
      <c r="J224" s="30"/>
      <c r="K224" s="30"/>
      <c r="L224" s="30"/>
      <c r="M224" s="30"/>
      <c r="N224" s="30"/>
      <c r="O224" s="30"/>
      <c r="P224" s="30"/>
      <c r="Q224" s="30"/>
      <c r="R224" s="30"/>
      <c r="S224" s="30"/>
    </row>
    <row r="225" spans="2:19" x14ac:dyDescent="0.3">
      <c r="B225" s="29"/>
      <c r="C225" s="29"/>
      <c r="D225" s="29"/>
      <c r="E225" s="67"/>
      <c r="F225" s="30"/>
      <c r="G225" s="30"/>
      <c r="H225" s="30"/>
      <c r="I225" s="30"/>
      <c r="J225" s="30"/>
      <c r="K225" s="30"/>
      <c r="L225" s="30"/>
      <c r="M225" s="30"/>
      <c r="N225" s="30"/>
      <c r="O225" s="30"/>
      <c r="P225" s="30"/>
      <c r="Q225" s="30"/>
      <c r="R225" s="30"/>
      <c r="S225" s="30"/>
    </row>
    <row r="226" spans="2:19" x14ac:dyDescent="0.3">
      <c r="B226" s="29"/>
      <c r="C226" s="29"/>
      <c r="D226" s="29"/>
      <c r="E226" s="67"/>
      <c r="F226" s="30"/>
      <c r="G226" s="30"/>
      <c r="H226" s="30"/>
      <c r="I226" s="30"/>
      <c r="J226" s="30"/>
      <c r="K226" s="30"/>
      <c r="L226" s="30"/>
      <c r="M226" s="30"/>
      <c r="N226" s="30"/>
      <c r="O226" s="30"/>
      <c r="P226" s="30"/>
      <c r="Q226" s="30"/>
      <c r="R226" s="30"/>
      <c r="S226" s="30"/>
    </row>
    <row r="227" spans="2:19" x14ac:dyDescent="0.3">
      <c r="B227" s="29"/>
      <c r="C227" s="29"/>
      <c r="D227" s="29"/>
      <c r="E227" s="67"/>
      <c r="F227" s="30"/>
      <c r="G227" s="30"/>
      <c r="H227" s="30"/>
      <c r="I227" s="30"/>
      <c r="J227" s="30"/>
      <c r="K227" s="30"/>
      <c r="L227" s="30"/>
      <c r="M227" s="30"/>
      <c r="N227" s="30"/>
      <c r="O227" s="30"/>
      <c r="P227" s="30"/>
      <c r="Q227" s="30"/>
      <c r="R227" s="30"/>
      <c r="S227" s="30"/>
    </row>
    <row r="228" spans="2:19" x14ac:dyDescent="0.3">
      <c r="B228" s="29"/>
      <c r="C228" s="29"/>
      <c r="D228" s="29"/>
      <c r="E228" s="67"/>
      <c r="F228" s="30"/>
      <c r="G228" s="30"/>
      <c r="H228" s="30"/>
      <c r="I228" s="30"/>
      <c r="J228" s="30"/>
      <c r="K228" s="30"/>
      <c r="L228" s="30"/>
      <c r="M228" s="30"/>
      <c r="N228" s="30"/>
      <c r="O228" s="30"/>
      <c r="P228" s="30"/>
      <c r="Q228" s="30"/>
      <c r="R228" s="30"/>
      <c r="S228" s="30"/>
    </row>
    <row r="229" spans="2:19" x14ac:dyDescent="0.3">
      <c r="B229" s="29"/>
      <c r="C229" s="29"/>
      <c r="D229" s="29"/>
      <c r="E229" s="67"/>
      <c r="F229" s="30"/>
      <c r="G229" s="30"/>
      <c r="H229" s="30"/>
      <c r="I229" s="30"/>
      <c r="J229" s="30"/>
      <c r="K229" s="30"/>
      <c r="L229" s="30"/>
      <c r="M229" s="30"/>
      <c r="N229" s="30"/>
      <c r="O229" s="30"/>
      <c r="P229" s="30"/>
      <c r="Q229" s="30"/>
      <c r="R229" s="30"/>
      <c r="S229" s="30"/>
    </row>
    <row r="230" spans="2:19" x14ac:dyDescent="0.3">
      <c r="B230" s="29"/>
      <c r="C230" s="29"/>
      <c r="D230" s="29"/>
      <c r="E230" s="67"/>
      <c r="F230" s="30"/>
      <c r="G230" s="30"/>
      <c r="H230" s="30"/>
      <c r="I230" s="30"/>
      <c r="J230" s="30"/>
      <c r="K230" s="30"/>
      <c r="L230" s="30"/>
      <c r="M230" s="30"/>
      <c r="N230" s="30"/>
      <c r="O230" s="30"/>
      <c r="P230" s="30"/>
      <c r="Q230" s="30"/>
      <c r="R230" s="30"/>
      <c r="S230" s="30"/>
    </row>
    <row r="231" spans="2:19" x14ac:dyDescent="0.3">
      <c r="B231" s="29"/>
      <c r="C231" s="29"/>
      <c r="D231" s="29"/>
      <c r="E231" s="67"/>
      <c r="F231" s="30"/>
      <c r="G231" s="30"/>
      <c r="H231" s="30"/>
      <c r="I231" s="30"/>
      <c r="J231" s="30"/>
      <c r="K231" s="30"/>
      <c r="L231" s="30"/>
      <c r="M231" s="30"/>
      <c r="N231" s="30"/>
      <c r="O231" s="30"/>
      <c r="P231" s="30"/>
      <c r="Q231" s="30"/>
      <c r="R231" s="30"/>
      <c r="S231" s="30"/>
    </row>
    <row r="232" spans="2:19" x14ac:dyDescent="0.3">
      <c r="B232" s="29"/>
      <c r="C232" s="29"/>
      <c r="D232" s="29"/>
      <c r="E232" s="67"/>
      <c r="F232" s="30"/>
      <c r="G232" s="30"/>
      <c r="H232" s="30"/>
      <c r="I232" s="30"/>
      <c r="J232" s="30"/>
      <c r="K232" s="30"/>
      <c r="L232" s="30"/>
      <c r="M232" s="30"/>
      <c r="N232" s="30"/>
      <c r="O232" s="30"/>
      <c r="P232" s="30"/>
      <c r="Q232" s="30"/>
      <c r="R232" s="30"/>
      <c r="S232" s="30"/>
    </row>
    <row r="233" spans="2:19" x14ac:dyDescent="0.3">
      <c r="B233" s="29"/>
      <c r="C233" s="29"/>
      <c r="D233" s="29"/>
      <c r="E233" s="67"/>
      <c r="F233" s="30"/>
      <c r="G233" s="30"/>
      <c r="H233" s="30"/>
      <c r="I233" s="30"/>
      <c r="J233" s="30"/>
      <c r="K233" s="30"/>
      <c r="L233" s="30"/>
      <c r="M233" s="30"/>
      <c r="N233" s="30"/>
      <c r="O233" s="30"/>
      <c r="P233" s="30"/>
      <c r="Q233" s="30"/>
      <c r="R233" s="30"/>
      <c r="S233" s="30"/>
    </row>
    <row r="234" spans="2:19" x14ac:dyDescent="0.3">
      <c r="B234" s="29"/>
      <c r="C234" s="29"/>
      <c r="D234" s="29"/>
      <c r="E234" s="67"/>
      <c r="F234" s="30"/>
      <c r="G234" s="30"/>
      <c r="H234" s="30"/>
      <c r="I234" s="30"/>
      <c r="J234" s="30"/>
      <c r="K234" s="30"/>
      <c r="L234" s="30"/>
      <c r="M234" s="30"/>
      <c r="N234" s="30"/>
      <c r="O234" s="30"/>
      <c r="P234" s="30"/>
      <c r="Q234" s="30"/>
      <c r="R234" s="30"/>
      <c r="S234" s="30"/>
    </row>
    <row r="235" spans="2:19" x14ac:dyDescent="0.3">
      <c r="B235" s="29"/>
      <c r="C235" s="29"/>
      <c r="D235" s="29"/>
      <c r="E235" s="67"/>
      <c r="F235" s="30"/>
      <c r="G235" s="30"/>
      <c r="H235" s="30"/>
      <c r="I235" s="30"/>
      <c r="J235" s="30"/>
      <c r="K235" s="30"/>
      <c r="L235" s="30"/>
      <c r="M235" s="30"/>
      <c r="N235" s="30"/>
      <c r="O235" s="30"/>
      <c r="P235" s="30"/>
      <c r="Q235" s="30"/>
      <c r="R235" s="30"/>
      <c r="S235" s="30"/>
    </row>
    <row r="236" spans="2:19" x14ac:dyDescent="0.3">
      <c r="B236" s="29"/>
      <c r="C236" s="29"/>
      <c r="D236" s="29"/>
      <c r="E236" s="67"/>
      <c r="F236" s="30"/>
      <c r="G236" s="30"/>
      <c r="H236" s="30"/>
      <c r="I236" s="30"/>
      <c r="J236" s="30"/>
      <c r="K236" s="30"/>
      <c r="L236" s="30"/>
      <c r="M236" s="30"/>
      <c r="N236" s="30"/>
      <c r="O236" s="30"/>
      <c r="P236" s="30"/>
      <c r="Q236" s="30"/>
      <c r="R236" s="30"/>
      <c r="S236" s="30"/>
    </row>
    <row r="237" spans="2:19" x14ac:dyDescent="0.3">
      <c r="B237" s="29"/>
      <c r="C237" s="29"/>
      <c r="D237" s="29"/>
      <c r="E237" s="67"/>
      <c r="F237" s="30"/>
      <c r="G237" s="30"/>
      <c r="H237" s="30"/>
      <c r="I237" s="30"/>
      <c r="J237" s="30"/>
      <c r="K237" s="30"/>
      <c r="L237" s="30"/>
      <c r="M237" s="30"/>
      <c r="N237" s="30"/>
      <c r="O237" s="30"/>
      <c r="P237" s="30"/>
      <c r="Q237" s="30"/>
      <c r="R237" s="30"/>
      <c r="S237" s="30"/>
    </row>
    <row r="238" spans="2:19" x14ac:dyDescent="0.3">
      <c r="B238" s="29"/>
      <c r="C238" s="29"/>
      <c r="D238" s="29"/>
      <c r="E238" s="67"/>
      <c r="F238" s="30"/>
      <c r="G238" s="30"/>
      <c r="H238" s="30"/>
      <c r="I238" s="30"/>
      <c r="J238" s="30"/>
      <c r="K238" s="30"/>
      <c r="L238" s="30"/>
      <c r="M238" s="30"/>
      <c r="N238" s="30"/>
      <c r="O238" s="30"/>
      <c r="P238" s="30"/>
      <c r="Q238" s="30"/>
      <c r="R238" s="30"/>
      <c r="S238" s="30"/>
    </row>
    <row r="239" spans="2:19" x14ac:dyDescent="0.3">
      <c r="B239" s="29"/>
      <c r="C239" s="29"/>
      <c r="D239" s="29"/>
      <c r="E239" s="67"/>
      <c r="F239" s="30"/>
      <c r="G239" s="30"/>
      <c r="H239" s="30"/>
      <c r="I239" s="30"/>
      <c r="J239" s="30"/>
      <c r="K239" s="30"/>
      <c r="L239" s="30"/>
      <c r="M239" s="30"/>
      <c r="N239" s="30"/>
      <c r="O239" s="30"/>
      <c r="P239" s="30"/>
      <c r="Q239" s="30"/>
      <c r="R239" s="30"/>
      <c r="S239" s="30"/>
    </row>
    <row r="240" spans="2:19" x14ac:dyDescent="0.3">
      <c r="B240" s="29"/>
      <c r="C240" s="29"/>
      <c r="D240" s="29"/>
      <c r="E240" s="67"/>
      <c r="F240" s="30"/>
      <c r="G240" s="30"/>
      <c r="H240" s="30"/>
      <c r="I240" s="30"/>
      <c r="J240" s="30"/>
      <c r="K240" s="30"/>
      <c r="L240" s="30"/>
      <c r="M240" s="30"/>
      <c r="N240" s="30"/>
      <c r="O240" s="30"/>
      <c r="P240" s="30"/>
      <c r="Q240" s="30"/>
      <c r="R240" s="30"/>
      <c r="S240" s="30"/>
    </row>
    <row r="241" spans="2:19" x14ac:dyDescent="0.3">
      <c r="B241" s="29"/>
      <c r="C241" s="29"/>
      <c r="D241" s="29"/>
      <c r="E241" s="67"/>
      <c r="F241" s="30"/>
      <c r="G241" s="30"/>
      <c r="H241" s="30"/>
      <c r="I241" s="30"/>
      <c r="J241" s="30"/>
      <c r="K241" s="30"/>
      <c r="L241" s="30"/>
      <c r="M241" s="30"/>
      <c r="N241" s="30"/>
      <c r="O241" s="30"/>
      <c r="P241" s="30"/>
      <c r="Q241" s="30"/>
      <c r="R241" s="30"/>
      <c r="S241" s="30"/>
    </row>
    <row r="242" spans="2:19" x14ac:dyDescent="0.3">
      <c r="B242" s="29"/>
      <c r="C242" s="29"/>
      <c r="D242" s="29"/>
      <c r="E242" s="67"/>
      <c r="F242" s="30"/>
      <c r="G242" s="30"/>
      <c r="H242" s="30"/>
      <c r="I242" s="30"/>
      <c r="J242" s="30"/>
      <c r="K242" s="30"/>
      <c r="L242" s="30"/>
      <c r="M242" s="30"/>
      <c r="N242" s="30"/>
      <c r="O242" s="30"/>
      <c r="P242" s="30"/>
      <c r="Q242" s="30"/>
      <c r="R242" s="30"/>
      <c r="S242" s="30"/>
    </row>
    <row r="243" spans="2:19" x14ac:dyDescent="0.3">
      <c r="B243" s="29"/>
      <c r="C243" s="29"/>
      <c r="D243" s="29"/>
      <c r="E243" s="67"/>
      <c r="F243" s="30"/>
      <c r="G243" s="30"/>
      <c r="H243" s="30"/>
      <c r="I243" s="30"/>
      <c r="J243" s="30"/>
      <c r="K243" s="30"/>
      <c r="L243" s="30"/>
      <c r="M243" s="30"/>
      <c r="N243" s="30"/>
      <c r="O243" s="30"/>
      <c r="P243" s="30"/>
      <c r="Q243" s="30"/>
      <c r="R243" s="30"/>
      <c r="S243" s="30"/>
    </row>
    <row r="244" spans="2:19" x14ac:dyDescent="0.3">
      <c r="B244" s="29"/>
      <c r="C244" s="29"/>
      <c r="D244" s="29"/>
      <c r="E244" s="67"/>
      <c r="F244" s="30"/>
      <c r="G244" s="30"/>
      <c r="H244" s="30"/>
      <c r="I244" s="30"/>
      <c r="J244" s="30"/>
      <c r="K244" s="30"/>
      <c r="L244" s="30"/>
      <c r="M244" s="30"/>
      <c r="N244" s="30"/>
      <c r="O244" s="30"/>
      <c r="P244" s="30"/>
      <c r="Q244" s="30"/>
      <c r="R244" s="30"/>
      <c r="S244" s="30"/>
    </row>
    <row r="245" spans="2:19" x14ac:dyDescent="0.3">
      <c r="B245" s="29"/>
      <c r="C245" s="29"/>
      <c r="D245" s="29"/>
      <c r="E245" s="67"/>
      <c r="F245" s="30"/>
      <c r="G245" s="30"/>
      <c r="H245" s="30"/>
      <c r="I245" s="30"/>
      <c r="J245" s="30"/>
      <c r="K245" s="30"/>
      <c r="L245" s="30"/>
      <c r="M245" s="30"/>
      <c r="N245" s="30"/>
      <c r="O245" s="30"/>
      <c r="P245" s="30"/>
      <c r="Q245" s="30"/>
      <c r="R245" s="30"/>
      <c r="S245" s="30"/>
    </row>
    <row r="246" spans="2:19" x14ac:dyDescent="0.3">
      <c r="B246" s="29"/>
      <c r="C246" s="29"/>
      <c r="D246" s="29"/>
      <c r="E246" s="67"/>
      <c r="F246" s="30"/>
      <c r="G246" s="30"/>
      <c r="H246" s="30"/>
      <c r="I246" s="30"/>
      <c r="J246" s="30"/>
      <c r="K246" s="30"/>
      <c r="L246" s="30"/>
      <c r="M246" s="30"/>
      <c r="N246" s="30"/>
      <c r="O246" s="30"/>
      <c r="P246" s="30"/>
      <c r="Q246" s="30"/>
      <c r="R246" s="30"/>
      <c r="S246" s="30"/>
    </row>
    <row r="247" spans="2:19" x14ac:dyDescent="0.3">
      <c r="B247" s="29"/>
      <c r="C247" s="29"/>
      <c r="D247" s="29"/>
      <c r="E247" s="67"/>
      <c r="F247" s="30"/>
      <c r="G247" s="30"/>
      <c r="H247" s="30"/>
      <c r="I247" s="30"/>
      <c r="J247" s="30"/>
      <c r="K247" s="30"/>
      <c r="L247" s="30"/>
      <c r="M247" s="30"/>
      <c r="N247" s="30"/>
      <c r="O247" s="30"/>
      <c r="P247" s="30"/>
      <c r="Q247" s="30"/>
      <c r="R247" s="30"/>
      <c r="S247" s="30"/>
    </row>
  </sheetData>
  <mergeCells count="1">
    <mergeCell ref="A2:F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38">
    <tabColor indexed="12"/>
    <outlinePr applyStyles="1" summaryBelow="0"/>
    <pageSetUpPr fitToPage="1"/>
  </sheetPr>
  <dimension ref="A3:R217"/>
  <sheetViews>
    <sheetView workbookViewId="0">
      <selection activeCell="E8" sqref="E8"/>
    </sheetView>
  </sheetViews>
  <sheetFormatPr defaultColWidth="9.109375" defaultRowHeight="13.8" x14ac:dyDescent="0.3"/>
  <cols>
    <col min="1" max="1" width="56.6640625" style="26" bestFit="1" customWidth="1"/>
    <col min="2" max="2" width="13.88671875" style="27" bestFit="1" customWidth="1"/>
    <col min="3" max="3" width="14.6640625" style="27" bestFit="1" customWidth="1"/>
    <col min="4" max="4" width="17.44140625" style="27" bestFit="1" customWidth="1"/>
    <col min="5" max="5" width="15.44140625" style="27" bestFit="1" customWidth="1"/>
    <col min="6" max="6" width="16.33203125" style="26" hidden="1" customWidth="1"/>
    <col min="7" max="7" width="3.5546875" style="26" hidden="1" customWidth="1"/>
    <col min="8" max="8" width="2.33203125" style="26" hidden="1" customWidth="1"/>
    <col min="9" max="9" width="3.5546875" style="119" customWidth="1"/>
    <col min="10" max="10" width="2.44140625" style="119" customWidth="1"/>
    <col min="11" max="11" width="9.109375" style="26" customWidth="1"/>
    <col min="12" max="16384" width="9.109375" style="26"/>
  </cols>
  <sheetData>
    <row r="3" spans="1:18" ht="18" x14ac:dyDescent="0.35">
      <c r="A3" s="1" t="str">
        <f>DEBT_LAST_5_YEARS</f>
        <v>Державний та гарантований державою борг України за останні 5 років</v>
      </c>
      <c r="B3" s="1"/>
      <c r="C3" s="1"/>
      <c r="D3" s="1"/>
      <c r="E3" s="1"/>
      <c r="F3" s="34"/>
      <c r="G3" s="34"/>
      <c r="H3" s="34"/>
    </row>
    <row r="4" spans="1:18" ht="18" x14ac:dyDescent="0.35">
      <c r="A4" s="1" t="str">
        <f>BY_AVERAGE_TERM</f>
        <v>(в розрізі середнього терміну обігу та середньої ставки)</v>
      </c>
      <c r="B4" s="1"/>
      <c r="C4" s="1"/>
      <c r="D4" s="1"/>
      <c r="E4" s="1"/>
      <c r="F4" s="34"/>
      <c r="G4" s="34"/>
      <c r="H4" s="34"/>
    </row>
    <row r="5" spans="1:18" ht="18" x14ac:dyDescent="0.35">
      <c r="A5" s="6"/>
      <c r="B5" s="6"/>
      <c r="C5" s="6"/>
      <c r="D5" s="6"/>
      <c r="E5" s="6"/>
      <c r="F5" s="34"/>
      <c r="G5" s="34"/>
      <c r="H5" s="34"/>
    </row>
    <row r="6" spans="1:18" x14ac:dyDescent="0.3">
      <c r="B6" s="29"/>
      <c r="C6" s="29"/>
      <c r="D6" s="29"/>
      <c r="E6" s="29"/>
      <c r="F6" s="30"/>
      <c r="G6" s="30"/>
      <c r="H6" s="30"/>
      <c r="I6" s="120"/>
      <c r="J6" s="120"/>
      <c r="K6" s="30"/>
      <c r="L6" s="30"/>
      <c r="M6" s="30"/>
      <c r="N6" s="30"/>
      <c r="O6" s="30"/>
      <c r="P6" s="30"/>
      <c r="Q6" s="30"/>
      <c r="R6" s="30"/>
    </row>
    <row r="7" spans="1:18" s="31" customFormat="1" x14ac:dyDescent="0.3">
      <c r="B7" s="32"/>
      <c r="C7" s="32"/>
      <c r="D7" s="32"/>
      <c r="E7" s="32"/>
      <c r="I7" s="121"/>
      <c r="J7" s="121"/>
    </row>
    <row r="8" spans="1:18" s="42" customFormat="1" ht="35.25" customHeight="1" x14ac:dyDescent="0.25">
      <c r="A8" s="170" t="s">
        <v>89</v>
      </c>
      <c r="B8" s="170" t="str">
        <f>AVERAGE_RATE</f>
        <v>Середня ставка,
%</v>
      </c>
      <c r="C8" s="170" t="str">
        <f>AVERAGE_CIRCULATION</f>
        <v>Середній термін обігу, років.</v>
      </c>
      <c r="D8" s="170" t="str">
        <f>AVERAGE_TO_REPAYMENT</f>
        <v>Середній термін до погашення, років.</v>
      </c>
      <c r="E8" s="170" t="str">
        <f>AMOUNT_OF_DEBT &amp;" "&amp; VALVAL</f>
        <v>Сума боргу млрд. одиниць</v>
      </c>
      <c r="F8" s="171" t="s">
        <v>90</v>
      </c>
      <c r="G8" s="171" t="s">
        <v>91</v>
      </c>
      <c r="H8" s="171" t="s">
        <v>92</v>
      </c>
      <c r="I8" s="172"/>
      <c r="J8" s="172"/>
    </row>
    <row r="9" spans="1:18" s="42" customFormat="1" ht="15.6" x14ac:dyDescent="0.3">
      <c r="A9" s="296" t="str">
        <f>DEBT_STATE</f>
        <v>Державний та гарантований державою борг України</v>
      </c>
      <c r="B9" s="297">
        <v>14.83</v>
      </c>
      <c r="C9" s="297">
        <v>9.5500000000000007</v>
      </c>
      <c r="D9" s="297">
        <v>7.11</v>
      </c>
      <c r="E9" s="297">
        <v>434227364.20999998</v>
      </c>
      <c r="F9" s="122">
        <v>0</v>
      </c>
      <c r="G9" s="122">
        <v>0</v>
      </c>
      <c r="H9" s="122">
        <v>3</v>
      </c>
      <c r="I9" s="120" t="str">
        <f t="shared" ref="I9:I28" si="0">IF(A9="","",A9 &amp; "; " &amp;B9 &amp; "%; "&amp;C9 &amp;"р.")</f>
        <v>Державний та гарантований державою борг України; 14,83%; 9,55р.</v>
      </c>
      <c r="J9" s="127">
        <f>E9</f>
        <v>434227364.20999998</v>
      </c>
    </row>
    <row r="10" spans="1:18" ht="15.6" x14ac:dyDescent="0.3">
      <c r="A10" s="128" t="s">
        <v>93</v>
      </c>
      <c r="B10" s="129">
        <v>14.816000000000001</v>
      </c>
      <c r="C10" s="129">
        <v>10.19</v>
      </c>
      <c r="D10" s="129">
        <v>7.63</v>
      </c>
      <c r="E10" s="129">
        <v>325186534.32999998</v>
      </c>
      <c r="F10" s="125">
        <v>0</v>
      </c>
      <c r="G10" s="125">
        <v>0</v>
      </c>
      <c r="H10" s="125">
        <v>2</v>
      </c>
      <c r="I10" s="120" t="str">
        <f t="shared" si="0"/>
        <v xml:space="preserve">   Державний борг; 14,816%; 10,19р.</v>
      </c>
      <c r="J10" s="127">
        <f t="shared" ref="J10:J61" si="1">E10</f>
        <v>325186534.32999998</v>
      </c>
      <c r="K10" s="30"/>
      <c r="L10" s="30"/>
      <c r="M10" s="30"/>
      <c r="N10" s="30"/>
      <c r="O10" s="30"/>
      <c r="P10" s="30"/>
      <c r="Q10" s="30"/>
      <c r="R10" s="30"/>
    </row>
    <row r="11" spans="1:18" ht="14.4" x14ac:dyDescent="0.3">
      <c r="A11" s="130" t="s">
        <v>94</v>
      </c>
      <c r="B11" s="131">
        <v>22.899000000000001</v>
      </c>
      <c r="C11" s="131">
        <v>6.34</v>
      </c>
      <c r="D11" s="131">
        <v>4.92</v>
      </c>
      <c r="E11" s="131">
        <v>141758727.56</v>
      </c>
      <c r="F11" s="126">
        <v>1</v>
      </c>
      <c r="G11" s="126">
        <v>0</v>
      </c>
      <c r="H11" s="126">
        <v>0</v>
      </c>
      <c r="I11" s="120" t="str">
        <f t="shared" si="0"/>
        <v xml:space="preserve">      Державний внутрішній борг; 22,899%; 6,34р.</v>
      </c>
      <c r="J11" s="127">
        <f t="shared" si="1"/>
        <v>141758727.56</v>
      </c>
      <c r="K11" s="30"/>
      <c r="L11" s="30"/>
      <c r="M11" s="30"/>
      <c r="N11" s="30"/>
      <c r="O11" s="30"/>
      <c r="P11" s="30"/>
      <c r="Q11" s="30"/>
      <c r="R11" s="30"/>
    </row>
    <row r="12" spans="1:18" x14ac:dyDescent="0.3">
      <c r="A12" s="123" t="s">
        <v>95</v>
      </c>
      <c r="B12" s="124">
        <v>23.326000000000001</v>
      </c>
      <c r="C12" s="124">
        <v>5.63</v>
      </c>
      <c r="D12" s="124">
        <v>4.45</v>
      </c>
      <c r="E12" s="124">
        <v>138452414.5</v>
      </c>
      <c r="F12" s="126">
        <v>0</v>
      </c>
      <c r="G12" s="126">
        <v>0</v>
      </c>
      <c r="H12" s="126">
        <v>0</v>
      </c>
      <c r="I12" s="120" t="str">
        <f t="shared" si="0"/>
        <v xml:space="preserve">         в т.ч. ОВДП; 23,326%; 5,63р.</v>
      </c>
      <c r="J12" s="127">
        <f t="shared" si="1"/>
        <v>138452414.5</v>
      </c>
      <c r="K12" s="30"/>
      <c r="L12" s="30"/>
      <c r="M12" s="30"/>
      <c r="N12" s="30"/>
      <c r="O12" s="30"/>
      <c r="P12" s="30"/>
      <c r="Q12" s="30"/>
      <c r="R12" s="30"/>
    </row>
    <row r="13" spans="1:18" x14ac:dyDescent="0.3">
      <c r="A13" s="123" t="s">
        <v>96</v>
      </c>
      <c r="B13" s="124">
        <v>9.5</v>
      </c>
      <c r="C13" s="124">
        <v>9.92</v>
      </c>
      <c r="D13" s="124">
        <v>8.61</v>
      </c>
      <c r="E13" s="124">
        <v>13312189</v>
      </c>
      <c r="F13" s="126">
        <v>0</v>
      </c>
      <c r="G13" s="126">
        <v>1</v>
      </c>
      <c r="H13" s="126">
        <v>0</v>
      </c>
      <c r="I13" s="120" t="str">
        <f t="shared" si="0"/>
        <v xml:space="preserve">            ОВДП (10 - річні); 9,5%; 9,92р.</v>
      </c>
      <c r="J13" s="127">
        <f t="shared" si="1"/>
        <v>13312189</v>
      </c>
      <c r="K13" s="30"/>
      <c r="L13" s="30"/>
      <c r="M13" s="30"/>
      <c r="N13" s="30"/>
      <c r="O13" s="30"/>
      <c r="P13" s="30"/>
      <c r="Q13" s="30"/>
      <c r="R13" s="30"/>
    </row>
    <row r="14" spans="1:18" x14ac:dyDescent="0.3">
      <c r="A14" s="123" t="s">
        <v>97</v>
      </c>
      <c r="B14" s="124">
        <v>9.5</v>
      </c>
      <c r="C14" s="124">
        <v>11.07</v>
      </c>
      <c r="D14" s="124">
        <v>9.8699999999999992</v>
      </c>
      <c r="E14" s="124">
        <v>3849981</v>
      </c>
      <c r="F14" s="126">
        <v>0</v>
      </c>
      <c r="G14" s="126">
        <v>1</v>
      </c>
      <c r="H14" s="126">
        <v>0</v>
      </c>
      <c r="I14" s="120" t="str">
        <f t="shared" si="0"/>
        <v xml:space="preserve">            ОВДП (11 - річні); 9,5%; 11,07р.</v>
      </c>
      <c r="J14" s="127">
        <f t="shared" si="1"/>
        <v>3849981</v>
      </c>
      <c r="K14" s="30"/>
      <c r="L14" s="30"/>
      <c r="M14" s="30"/>
      <c r="N14" s="30"/>
      <c r="O14" s="30"/>
      <c r="P14" s="30"/>
      <c r="Q14" s="30"/>
      <c r="R14" s="30"/>
    </row>
    <row r="15" spans="1:18" x14ac:dyDescent="0.3">
      <c r="A15" s="123" t="s">
        <v>98</v>
      </c>
      <c r="B15" s="124">
        <v>1.373</v>
      </c>
      <c r="C15" s="124">
        <v>0.95</v>
      </c>
      <c r="D15" s="124">
        <v>0.27</v>
      </c>
      <c r="E15" s="124">
        <v>8118816</v>
      </c>
      <c r="F15" s="126">
        <v>0</v>
      </c>
      <c r="G15" s="126">
        <v>1</v>
      </c>
      <c r="H15" s="126">
        <v>0</v>
      </c>
      <c r="I15" s="120" t="str">
        <f t="shared" si="0"/>
        <v xml:space="preserve">            ОВДП (12 - місячні); 1,373%; 0,95р.</v>
      </c>
      <c r="J15" s="127">
        <f t="shared" si="1"/>
        <v>8118816</v>
      </c>
      <c r="K15" s="30"/>
      <c r="L15" s="30"/>
      <c r="M15" s="30"/>
      <c r="N15" s="30"/>
      <c r="O15" s="30"/>
      <c r="P15" s="30"/>
      <c r="Q15" s="30"/>
      <c r="R15" s="30"/>
    </row>
    <row r="16" spans="1:18" x14ac:dyDescent="0.3">
      <c r="A16" s="123" t="s">
        <v>99</v>
      </c>
      <c r="B16" s="124">
        <v>9.5</v>
      </c>
      <c r="C16" s="124">
        <v>12.43</v>
      </c>
      <c r="D16" s="124">
        <v>11.26</v>
      </c>
      <c r="E16" s="124">
        <v>1500000</v>
      </c>
      <c r="F16" s="126">
        <v>0</v>
      </c>
      <c r="G16" s="126">
        <v>1</v>
      </c>
      <c r="H16" s="126">
        <v>0</v>
      </c>
      <c r="I16" s="120" t="str">
        <f t="shared" si="0"/>
        <v xml:space="preserve">            ОВДП (12 - річні); 9,5%; 12,43р.</v>
      </c>
      <c r="J16" s="127">
        <f t="shared" si="1"/>
        <v>1500000</v>
      </c>
      <c r="K16" s="30"/>
      <c r="L16" s="30"/>
      <c r="M16" s="30"/>
      <c r="N16" s="30"/>
      <c r="O16" s="30"/>
      <c r="P16" s="30"/>
      <c r="Q16" s="30"/>
      <c r="R16" s="30"/>
    </row>
    <row r="17" spans="1:18" x14ac:dyDescent="0.3">
      <c r="A17" s="123" t="s">
        <v>100</v>
      </c>
      <c r="B17" s="124">
        <v>10.286</v>
      </c>
      <c r="C17" s="124">
        <v>1.66</v>
      </c>
      <c r="D17" s="124">
        <v>1.26</v>
      </c>
      <c r="E17" s="124">
        <v>2800000</v>
      </c>
      <c r="F17" s="126">
        <v>0</v>
      </c>
      <c r="G17" s="126">
        <v>1</v>
      </c>
      <c r="H17" s="126">
        <v>0</v>
      </c>
      <c r="I17" s="120" t="str">
        <f t="shared" si="0"/>
        <v xml:space="preserve">            ОВДП (18 - місячні); 10,286%; 1,66р.</v>
      </c>
      <c r="J17" s="127">
        <f t="shared" si="1"/>
        <v>2800000</v>
      </c>
      <c r="K17" s="30"/>
      <c r="L17" s="30"/>
      <c r="M17" s="30"/>
      <c r="N17" s="30"/>
      <c r="O17" s="30"/>
      <c r="P17" s="30"/>
      <c r="Q17" s="30"/>
      <c r="R17" s="30"/>
    </row>
    <row r="18" spans="1:18" x14ac:dyDescent="0.3">
      <c r="A18" s="123" t="s">
        <v>101</v>
      </c>
      <c r="B18" s="124">
        <v>15.615</v>
      </c>
      <c r="C18" s="124">
        <v>1.73</v>
      </c>
      <c r="D18" s="124">
        <v>0.87</v>
      </c>
      <c r="E18" s="124">
        <v>4478188</v>
      </c>
      <c r="F18" s="126">
        <v>0</v>
      </c>
      <c r="G18" s="126">
        <v>1</v>
      </c>
      <c r="H18" s="126">
        <v>0</v>
      </c>
      <c r="I18" s="120" t="str">
        <f t="shared" si="0"/>
        <v xml:space="preserve">            ОВДП (2 - річні); 15,615%; 1,73р.</v>
      </c>
      <c r="J18" s="127">
        <f t="shared" si="1"/>
        <v>4478188</v>
      </c>
      <c r="K18" s="30"/>
      <c r="L18" s="30"/>
      <c r="M18" s="30"/>
      <c r="N18" s="30"/>
      <c r="O18" s="30"/>
      <c r="P18" s="30"/>
      <c r="Q18" s="30"/>
      <c r="R18" s="30"/>
    </row>
    <row r="19" spans="1:18" x14ac:dyDescent="0.3">
      <c r="A19" s="123" t="s">
        <v>102</v>
      </c>
      <c r="B19" s="124">
        <v>0</v>
      </c>
      <c r="C19" s="124">
        <v>0</v>
      </c>
      <c r="D19" s="124">
        <v>0</v>
      </c>
      <c r="E19" s="124">
        <v>0</v>
      </c>
      <c r="F19" s="126">
        <v>0</v>
      </c>
      <c r="G19" s="126">
        <v>1</v>
      </c>
      <c r="H19" s="126">
        <v>0</v>
      </c>
      <c r="I19" s="120" t="str">
        <f t="shared" si="0"/>
        <v xml:space="preserve">            ОВДП (3 - місячні); 0%; 0р.</v>
      </c>
      <c r="J19" s="127">
        <f t="shared" si="1"/>
        <v>0</v>
      </c>
      <c r="K19" s="30"/>
      <c r="L19" s="30"/>
      <c r="M19" s="30"/>
      <c r="N19" s="30"/>
      <c r="O19" s="30"/>
      <c r="P19" s="30"/>
      <c r="Q19" s="30"/>
      <c r="R19" s="30"/>
    </row>
    <row r="20" spans="1:18" x14ac:dyDescent="0.3">
      <c r="A20" s="123" t="s">
        <v>103</v>
      </c>
      <c r="B20" s="124">
        <v>28.766999999999999</v>
      </c>
      <c r="C20" s="124">
        <v>2.92</v>
      </c>
      <c r="D20" s="124">
        <v>1.65</v>
      </c>
      <c r="E20" s="124">
        <v>16281350</v>
      </c>
      <c r="F20" s="126">
        <v>0</v>
      </c>
      <c r="G20" s="126">
        <v>1</v>
      </c>
      <c r="H20" s="126">
        <v>0</v>
      </c>
      <c r="I20" s="120" t="str">
        <f t="shared" si="0"/>
        <v xml:space="preserve">            ОВДП (3 - річні); 28,767%; 2,92р.</v>
      </c>
      <c r="J20" s="127">
        <f t="shared" si="1"/>
        <v>16281350</v>
      </c>
      <c r="K20" s="30"/>
      <c r="L20" s="30"/>
      <c r="M20" s="30"/>
      <c r="N20" s="30"/>
      <c r="O20" s="30"/>
      <c r="P20" s="30"/>
      <c r="Q20" s="30"/>
      <c r="R20" s="30"/>
    </row>
    <row r="21" spans="1:18" x14ac:dyDescent="0.3">
      <c r="A21" s="123" t="s">
        <v>104</v>
      </c>
      <c r="B21" s="124">
        <v>0</v>
      </c>
      <c r="C21" s="124">
        <v>0</v>
      </c>
      <c r="D21" s="124">
        <v>0</v>
      </c>
      <c r="E21" s="124">
        <v>0</v>
      </c>
      <c r="F21" s="126">
        <v>0</v>
      </c>
      <c r="G21" s="126">
        <v>1</v>
      </c>
      <c r="H21" s="126">
        <v>0</v>
      </c>
      <c r="I21" s="120" t="str">
        <f t="shared" si="0"/>
        <v xml:space="preserve">            ОВДП (4 - річні); 0%; 0р.</v>
      </c>
      <c r="J21" s="127">
        <f t="shared" si="1"/>
        <v>0</v>
      </c>
      <c r="K21" s="30"/>
      <c r="L21" s="30"/>
      <c r="M21" s="30"/>
      <c r="N21" s="30"/>
      <c r="O21" s="30"/>
      <c r="P21" s="30"/>
      <c r="Q21" s="30"/>
      <c r="R21" s="30"/>
    </row>
    <row r="22" spans="1:18" ht="14.4" x14ac:dyDescent="0.3">
      <c r="A22" s="130" t="s">
        <v>105</v>
      </c>
      <c r="B22" s="131">
        <v>8.5690000000000008</v>
      </c>
      <c r="C22" s="131">
        <v>13.17</v>
      </c>
      <c r="D22" s="131">
        <v>9.73</v>
      </c>
      <c r="E22" s="131">
        <v>183427806.75999999</v>
      </c>
      <c r="F22" s="126">
        <v>1</v>
      </c>
      <c r="G22" s="126">
        <v>0</v>
      </c>
      <c r="H22" s="126">
        <v>0</v>
      </c>
      <c r="I22" s="120" t="str">
        <f t="shared" si="0"/>
        <v xml:space="preserve">      Державний зовнішній борг; 8,569%; 13,17р.</v>
      </c>
      <c r="J22" s="127">
        <f t="shared" si="1"/>
        <v>183427806.75999999</v>
      </c>
      <c r="K22" s="30"/>
      <c r="L22" s="30"/>
      <c r="M22" s="30"/>
      <c r="N22" s="30"/>
      <c r="O22" s="30"/>
      <c r="P22" s="30"/>
      <c r="Q22" s="30"/>
      <c r="R22" s="30"/>
    </row>
    <row r="23" spans="1:18" x14ac:dyDescent="0.3">
      <c r="A23" s="123" t="s">
        <v>106</v>
      </c>
      <c r="B23" s="124">
        <v>6.843</v>
      </c>
      <c r="C23" s="124">
        <v>8.32</v>
      </c>
      <c r="D23" s="124">
        <v>4.75</v>
      </c>
      <c r="E23" s="124">
        <v>57305017.399999999</v>
      </c>
      <c r="F23" s="126">
        <v>0</v>
      </c>
      <c r="G23" s="126">
        <v>0</v>
      </c>
      <c r="H23" s="126">
        <v>0</v>
      </c>
      <c r="I23" s="120" t="str">
        <f t="shared" si="0"/>
        <v xml:space="preserve">         в т.ч. ОЗДП; 6,843%; 8,32р.</v>
      </c>
      <c r="J23" s="127">
        <f t="shared" si="1"/>
        <v>57305017.399999999</v>
      </c>
      <c r="K23" s="30"/>
      <c r="L23" s="30"/>
      <c r="M23" s="30"/>
      <c r="N23" s="30"/>
      <c r="O23" s="30"/>
      <c r="P23" s="30"/>
      <c r="Q23" s="30"/>
      <c r="R23" s="30"/>
    </row>
    <row r="24" spans="1:18" ht="15.6" x14ac:dyDescent="0.3">
      <c r="A24" s="128" t="s">
        <v>107</v>
      </c>
      <c r="B24" s="129">
        <v>14.874000000000001</v>
      </c>
      <c r="C24" s="129">
        <v>7.62</v>
      </c>
      <c r="D24" s="129">
        <v>5.55</v>
      </c>
      <c r="E24" s="129">
        <v>109040829.89</v>
      </c>
      <c r="F24" s="125">
        <v>0</v>
      </c>
      <c r="G24" s="125">
        <v>0</v>
      </c>
      <c r="H24" s="125">
        <v>2</v>
      </c>
      <c r="I24" s="120" t="str">
        <f t="shared" si="0"/>
        <v xml:space="preserve">  Гарантований борг; 14,874%; 7,62р.</v>
      </c>
      <c r="J24" s="127">
        <f t="shared" si="1"/>
        <v>109040829.89</v>
      </c>
      <c r="K24" s="30"/>
      <c r="L24" s="30"/>
      <c r="M24" s="30"/>
      <c r="N24" s="30"/>
      <c r="O24" s="30"/>
      <c r="P24" s="30"/>
      <c r="Q24" s="30"/>
      <c r="R24" s="30"/>
    </row>
    <row r="25" spans="1:18" ht="14.4" x14ac:dyDescent="0.3">
      <c r="A25" s="130" t="s">
        <v>108</v>
      </c>
      <c r="B25" s="131">
        <v>18.471</v>
      </c>
      <c r="C25" s="131">
        <v>4.82</v>
      </c>
      <c r="D25" s="131">
        <v>2.78</v>
      </c>
      <c r="E25" s="131">
        <v>13755251.4</v>
      </c>
      <c r="F25" s="126">
        <v>1</v>
      </c>
      <c r="G25" s="126">
        <v>0</v>
      </c>
      <c r="H25" s="126">
        <v>0</v>
      </c>
      <c r="I25" s="120" t="str">
        <f t="shared" si="0"/>
        <v xml:space="preserve">      Гарантований внутрішній борг; 18,471%; 4,82р.</v>
      </c>
      <c r="J25" s="127">
        <f t="shared" si="1"/>
        <v>13755251.4</v>
      </c>
      <c r="K25" s="30"/>
      <c r="L25" s="30"/>
      <c r="M25" s="30"/>
      <c r="N25" s="30"/>
      <c r="O25" s="30"/>
      <c r="P25" s="30"/>
      <c r="Q25" s="30"/>
      <c r="R25" s="30"/>
    </row>
    <row r="26" spans="1:18" ht="14.4" x14ac:dyDescent="0.3">
      <c r="A26" s="130" t="s">
        <v>109</v>
      </c>
      <c r="B26" s="131">
        <v>14.353999999999999</v>
      </c>
      <c r="C26" s="131">
        <v>8.02</v>
      </c>
      <c r="D26" s="131">
        <v>5.96</v>
      </c>
      <c r="E26" s="131">
        <v>95285578.480000004</v>
      </c>
      <c r="F26" s="126">
        <v>1</v>
      </c>
      <c r="G26" s="126">
        <v>0</v>
      </c>
      <c r="H26" s="126">
        <v>0</v>
      </c>
      <c r="I26" s="120" t="str">
        <f t="shared" si="0"/>
        <v xml:space="preserve">      Гарантований зовнішній борг; 14,354%; 8,02р.</v>
      </c>
      <c r="J26" s="127">
        <f t="shared" si="1"/>
        <v>95285578.480000004</v>
      </c>
      <c r="K26" s="30"/>
      <c r="L26" s="30"/>
      <c r="M26" s="30"/>
      <c r="N26" s="30"/>
      <c r="O26" s="30"/>
      <c r="P26" s="30"/>
      <c r="Q26" s="30"/>
      <c r="R26" s="30"/>
    </row>
    <row r="27" spans="1:18" x14ac:dyDescent="0.3">
      <c r="A27" s="123" t="s">
        <v>106</v>
      </c>
      <c r="B27" s="124">
        <v>72.253</v>
      </c>
      <c r="C27" s="124">
        <v>5.53</v>
      </c>
      <c r="D27" s="124">
        <v>4.47</v>
      </c>
      <c r="E27" s="124">
        <v>17154238.920000002</v>
      </c>
      <c r="F27" s="126">
        <v>0</v>
      </c>
      <c r="G27" s="126">
        <v>0</v>
      </c>
      <c r="H27" s="126">
        <v>0</v>
      </c>
      <c r="I27" s="120" t="str">
        <f t="shared" si="0"/>
        <v xml:space="preserve">         в т.ч. ОЗДП; 72,253%; 5,53р.</v>
      </c>
      <c r="J27" s="127">
        <f t="shared" si="1"/>
        <v>17154238.920000002</v>
      </c>
      <c r="K27" s="30"/>
      <c r="L27" s="30"/>
      <c r="M27" s="30"/>
      <c r="N27" s="30"/>
      <c r="O27" s="30"/>
      <c r="P27" s="30"/>
      <c r="Q27" s="30"/>
      <c r="R27" s="30"/>
    </row>
    <row r="28" spans="1:18" x14ac:dyDescent="0.3">
      <c r="B28" s="29"/>
      <c r="C28" s="29"/>
      <c r="D28" s="29"/>
      <c r="E28" s="29"/>
      <c r="F28" s="30"/>
      <c r="G28" s="30"/>
      <c r="H28" s="30"/>
      <c r="I28" s="120" t="str">
        <f t="shared" si="0"/>
        <v/>
      </c>
      <c r="J28" s="127">
        <f t="shared" si="1"/>
        <v>0</v>
      </c>
      <c r="K28" s="30"/>
      <c r="L28" s="30"/>
      <c r="M28" s="30"/>
      <c r="N28" s="30"/>
      <c r="O28" s="30"/>
      <c r="P28" s="30"/>
      <c r="Q28" s="30"/>
      <c r="R28" s="30"/>
    </row>
    <row r="29" spans="1:18" x14ac:dyDescent="0.3">
      <c r="B29" s="29"/>
      <c r="C29" s="29"/>
      <c r="D29" s="29"/>
      <c r="E29" s="29"/>
      <c r="F29" s="30"/>
      <c r="G29" s="30"/>
      <c r="H29" s="30"/>
      <c r="I29" s="120" t="str">
        <f t="shared" ref="I29:I53" si="2">IF(A29="","",A29 &amp; "; " &amp;B29 &amp; "%; "&amp;C29 &amp;"р.")</f>
        <v/>
      </c>
      <c r="J29" s="127">
        <f t="shared" si="1"/>
        <v>0</v>
      </c>
      <c r="K29" s="30"/>
      <c r="L29" s="30"/>
      <c r="M29" s="30"/>
      <c r="N29" s="30"/>
      <c r="O29" s="30"/>
      <c r="P29" s="30"/>
      <c r="Q29" s="30"/>
      <c r="R29" s="30"/>
    </row>
    <row r="30" spans="1:18" x14ac:dyDescent="0.3">
      <c r="B30" s="29"/>
      <c r="C30" s="29"/>
      <c r="D30" s="29"/>
      <c r="E30" s="29"/>
      <c r="F30" s="30"/>
      <c r="G30" s="30"/>
      <c r="H30" s="30"/>
      <c r="I30" s="120" t="str">
        <f t="shared" si="2"/>
        <v/>
      </c>
      <c r="J30" s="127">
        <f t="shared" si="1"/>
        <v>0</v>
      </c>
      <c r="K30" s="30"/>
      <c r="L30" s="30"/>
      <c r="M30" s="30"/>
      <c r="N30" s="30"/>
      <c r="O30" s="30"/>
      <c r="P30" s="30"/>
      <c r="Q30" s="30"/>
      <c r="R30" s="30"/>
    </row>
    <row r="31" spans="1:18" x14ac:dyDescent="0.3">
      <c r="B31" s="29"/>
      <c r="C31" s="29"/>
      <c r="D31" s="29"/>
      <c r="E31" s="29"/>
      <c r="F31" s="30"/>
      <c r="G31" s="30"/>
      <c r="H31" s="30"/>
      <c r="I31" s="120" t="str">
        <f t="shared" si="2"/>
        <v/>
      </c>
      <c r="J31" s="127">
        <f t="shared" si="1"/>
        <v>0</v>
      </c>
      <c r="K31" s="30"/>
      <c r="L31" s="30"/>
      <c r="M31" s="30"/>
      <c r="N31" s="30"/>
      <c r="O31" s="30"/>
      <c r="P31" s="30"/>
      <c r="Q31" s="30"/>
      <c r="R31" s="30"/>
    </row>
    <row r="32" spans="1:18" x14ac:dyDescent="0.3">
      <c r="B32" s="29"/>
      <c r="C32" s="29"/>
      <c r="D32" s="29"/>
      <c r="E32" s="29"/>
      <c r="F32" s="30"/>
      <c r="G32" s="30"/>
      <c r="H32" s="30"/>
      <c r="I32" s="120" t="str">
        <f t="shared" si="2"/>
        <v/>
      </c>
      <c r="J32" s="127">
        <f t="shared" si="1"/>
        <v>0</v>
      </c>
      <c r="K32" s="30"/>
      <c r="L32" s="30"/>
      <c r="M32" s="30"/>
      <c r="N32" s="30"/>
      <c r="O32" s="30"/>
      <c r="P32" s="30"/>
      <c r="Q32" s="30"/>
      <c r="R32" s="30"/>
    </row>
    <row r="33" spans="2:18" x14ac:dyDescent="0.3">
      <c r="B33" s="29"/>
      <c r="C33" s="29"/>
      <c r="D33" s="29"/>
      <c r="E33" s="29"/>
      <c r="F33" s="30"/>
      <c r="G33" s="30"/>
      <c r="H33" s="30"/>
      <c r="I33" s="120" t="str">
        <f t="shared" si="2"/>
        <v/>
      </c>
      <c r="J33" s="127">
        <f t="shared" si="1"/>
        <v>0</v>
      </c>
      <c r="K33" s="30"/>
      <c r="L33" s="30"/>
      <c r="M33" s="30"/>
      <c r="N33" s="30"/>
      <c r="O33" s="30"/>
      <c r="P33" s="30"/>
      <c r="Q33" s="30"/>
      <c r="R33" s="30"/>
    </row>
    <row r="34" spans="2:18" x14ac:dyDescent="0.3">
      <c r="B34" s="29"/>
      <c r="C34" s="29"/>
      <c r="D34" s="29"/>
      <c r="E34" s="29"/>
      <c r="F34" s="30"/>
      <c r="G34" s="30"/>
      <c r="H34" s="30"/>
      <c r="I34" s="120" t="str">
        <f t="shared" si="2"/>
        <v/>
      </c>
      <c r="J34" s="127">
        <f t="shared" si="1"/>
        <v>0</v>
      </c>
      <c r="K34" s="30"/>
      <c r="L34" s="30"/>
      <c r="M34" s="30"/>
      <c r="N34" s="30"/>
      <c r="O34" s="30"/>
      <c r="P34" s="30"/>
      <c r="Q34" s="30"/>
      <c r="R34" s="30"/>
    </row>
    <row r="35" spans="2:18" x14ac:dyDescent="0.3">
      <c r="B35" s="29"/>
      <c r="C35" s="29"/>
      <c r="D35" s="29"/>
      <c r="E35" s="29"/>
      <c r="F35" s="30"/>
      <c r="G35" s="30"/>
      <c r="H35" s="30"/>
      <c r="I35" s="120" t="str">
        <f t="shared" si="2"/>
        <v/>
      </c>
      <c r="J35" s="127">
        <f t="shared" si="1"/>
        <v>0</v>
      </c>
      <c r="K35" s="30"/>
      <c r="L35" s="30"/>
      <c r="M35" s="30"/>
      <c r="N35" s="30"/>
      <c r="O35" s="30"/>
      <c r="P35" s="30"/>
      <c r="Q35" s="30"/>
      <c r="R35" s="30"/>
    </row>
    <row r="36" spans="2:18" x14ac:dyDescent="0.3">
      <c r="B36" s="29"/>
      <c r="C36" s="29"/>
      <c r="D36" s="29"/>
      <c r="E36" s="29"/>
      <c r="F36" s="30"/>
      <c r="G36" s="30"/>
      <c r="H36" s="30"/>
      <c r="I36" s="120" t="str">
        <f t="shared" si="2"/>
        <v/>
      </c>
      <c r="J36" s="127">
        <f t="shared" si="1"/>
        <v>0</v>
      </c>
      <c r="K36" s="30"/>
      <c r="L36" s="30"/>
      <c r="M36" s="30"/>
      <c r="N36" s="30"/>
      <c r="O36" s="30"/>
      <c r="P36" s="30"/>
      <c r="Q36" s="30"/>
      <c r="R36" s="30"/>
    </row>
    <row r="37" spans="2:18" x14ac:dyDescent="0.3">
      <c r="B37" s="29"/>
      <c r="C37" s="29"/>
      <c r="D37" s="29"/>
      <c r="E37" s="29"/>
      <c r="F37" s="30"/>
      <c r="G37" s="30"/>
      <c r="H37" s="30"/>
      <c r="I37" s="120" t="str">
        <f t="shared" si="2"/>
        <v/>
      </c>
      <c r="J37" s="127">
        <f t="shared" si="1"/>
        <v>0</v>
      </c>
      <c r="K37" s="30"/>
      <c r="L37" s="30"/>
      <c r="M37" s="30"/>
      <c r="N37" s="30"/>
      <c r="O37" s="30"/>
      <c r="P37" s="30"/>
      <c r="Q37" s="30"/>
      <c r="R37" s="30"/>
    </row>
    <row r="38" spans="2:18" x14ac:dyDescent="0.3">
      <c r="B38" s="29"/>
      <c r="C38" s="29"/>
      <c r="D38" s="29"/>
      <c r="E38" s="29"/>
      <c r="F38" s="30"/>
      <c r="G38" s="30"/>
      <c r="H38" s="30"/>
      <c r="I38" s="120" t="str">
        <f t="shared" si="2"/>
        <v/>
      </c>
      <c r="J38" s="127">
        <f t="shared" si="1"/>
        <v>0</v>
      </c>
      <c r="K38" s="30"/>
      <c r="L38" s="30"/>
      <c r="M38" s="30"/>
      <c r="N38" s="30"/>
      <c r="O38" s="30"/>
      <c r="P38" s="30"/>
      <c r="Q38" s="30"/>
      <c r="R38" s="30"/>
    </row>
    <row r="39" spans="2:18" x14ac:dyDescent="0.3">
      <c r="B39" s="29"/>
      <c r="C39" s="29"/>
      <c r="D39" s="29"/>
      <c r="E39" s="29"/>
      <c r="F39" s="30"/>
      <c r="G39" s="30"/>
      <c r="H39" s="30"/>
      <c r="I39" s="120" t="str">
        <f t="shared" si="2"/>
        <v/>
      </c>
      <c r="J39" s="127">
        <f t="shared" si="1"/>
        <v>0</v>
      </c>
      <c r="K39" s="30"/>
      <c r="L39" s="30"/>
      <c r="M39" s="30"/>
      <c r="N39" s="30"/>
      <c r="O39" s="30"/>
      <c r="P39" s="30"/>
      <c r="Q39" s="30"/>
      <c r="R39" s="30"/>
    </row>
    <row r="40" spans="2:18" x14ac:dyDescent="0.3">
      <c r="B40" s="29"/>
      <c r="C40" s="29"/>
      <c r="D40" s="29"/>
      <c r="E40" s="29"/>
      <c r="F40" s="30"/>
      <c r="G40" s="30"/>
      <c r="H40" s="30"/>
      <c r="I40" s="120" t="str">
        <f t="shared" si="2"/>
        <v/>
      </c>
      <c r="J40" s="127">
        <f t="shared" si="1"/>
        <v>0</v>
      </c>
      <c r="K40" s="30"/>
      <c r="L40" s="30"/>
      <c r="M40" s="30"/>
      <c r="N40" s="30"/>
      <c r="O40" s="30"/>
      <c r="P40" s="30"/>
      <c r="Q40" s="30"/>
      <c r="R40" s="30"/>
    </row>
    <row r="41" spans="2:18" x14ac:dyDescent="0.3">
      <c r="B41" s="29"/>
      <c r="C41" s="29"/>
      <c r="D41" s="29"/>
      <c r="E41" s="29"/>
      <c r="F41" s="30"/>
      <c r="G41" s="30"/>
      <c r="H41" s="30"/>
      <c r="I41" s="120" t="str">
        <f t="shared" si="2"/>
        <v/>
      </c>
      <c r="J41" s="127">
        <f t="shared" si="1"/>
        <v>0</v>
      </c>
      <c r="K41" s="30"/>
      <c r="L41" s="30"/>
      <c r="M41" s="30"/>
      <c r="N41" s="30"/>
      <c r="O41" s="30"/>
      <c r="P41" s="30"/>
      <c r="Q41" s="30"/>
      <c r="R41" s="30"/>
    </row>
    <row r="42" spans="2:18" x14ac:dyDescent="0.3">
      <c r="B42" s="29"/>
      <c r="C42" s="29"/>
      <c r="D42" s="29"/>
      <c r="E42" s="29"/>
      <c r="F42" s="30"/>
      <c r="G42" s="30"/>
      <c r="H42" s="30"/>
      <c r="I42" s="120" t="str">
        <f t="shared" si="2"/>
        <v/>
      </c>
      <c r="J42" s="127">
        <f t="shared" si="1"/>
        <v>0</v>
      </c>
      <c r="K42" s="30"/>
      <c r="L42" s="30"/>
      <c r="M42" s="30"/>
      <c r="N42" s="30"/>
      <c r="O42" s="30"/>
      <c r="P42" s="30"/>
      <c r="Q42" s="30"/>
      <c r="R42" s="30"/>
    </row>
    <row r="43" spans="2:18" x14ac:dyDescent="0.3">
      <c r="B43" s="29"/>
      <c r="C43" s="29"/>
      <c r="D43" s="29"/>
      <c r="E43" s="29"/>
      <c r="F43" s="30"/>
      <c r="G43" s="30"/>
      <c r="H43" s="30"/>
      <c r="I43" s="120" t="str">
        <f t="shared" si="2"/>
        <v/>
      </c>
      <c r="J43" s="127">
        <f t="shared" si="1"/>
        <v>0</v>
      </c>
      <c r="K43" s="30"/>
      <c r="L43" s="30"/>
      <c r="M43" s="30"/>
      <c r="N43" s="30"/>
      <c r="O43" s="30"/>
      <c r="P43" s="30"/>
      <c r="Q43" s="30"/>
      <c r="R43" s="30"/>
    </row>
    <row r="44" spans="2:18" x14ac:dyDescent="0.3">
      <c r="B44" s="29"/>
      <c r="C44" s="29"/>
      <c r="D44" s="29"/>
      <c r="E44" s="29"/>
      <c r="F44" s="30"/>
      <c r="G44" s="30"/>
      <c r="H44" s="30"/>
      <c r="I44" s="120" t="str">
        <f t="shared" si="2"/>
        <v/>
      </c>
      <c r="J44" s="127">
        <f t="shared" si="1"/>
        <v>0</v>
      </c>
      <c r="K44" s="30"/>
      <c r="L44" s="30"/>
      <c r="M44" s="30"/>
      <c r="N44" s="30"/>
      <c r="O44" s="30"/>
      <c r="P44" s="30"/>
      <c r="Q44" s="30"/>
      <c r="R44" s="30"/>
    </row>
    <row r="45" spans="2:18" x14ac:dyDescent="0.3">
      <c r="B45" s="29"/>
      <c r="C45" s="29"/>
      <c r="D45" s="29"/>
      <c r="E45" s="29"/>
      <c r="F45" s="30"/>
      <c r="G45" s="30"/>
      <c r="H45" s="30"/>
      <c r="I45" s="120" t="str">
        <f t="shared" si="2"/>
        <v/>
      </c>
      <c r="J45" s="127">
        <f t="shared" si="1"/>
        <v>0</v>
      </c>
      <c r="K45" s="30"/>
      <c r="L45" s="30"/>
      <c r="M45" s="30"/>
      <c r="N45" s="30"/>
      <c r="O45" s="30"/>
      <c r="P45" s="30"/>
      <c r="Q45" s="30"/>
      <c r="R45" s="30"/>
    </row>
    <row r="46" spans="2:18" x14ac:dyDescent="0.3">
      <c r="B46" s="29"/>
      <c r="C46" s="29"/>
      <c r="D46" s="29"/>
      <c r="E46" s="29"/>
      <c r="F46" s="30"/>
      <c r="G46" s="30"/>
      <c r="H46" s="30"/>
      <c r="I46" s="120" t="str">
        <f t="shared" si="2"/>
        <v/>
      </c>
      <c r="J46" s="127">
        <f t="shared" si="1"/>
        <v>0</v>
      </c>
      <c r="K46" s="30"/>
      <c r="L46" s="30"/>
      <c r="M46" s="30"/>
      <c r="N46" s="30"/>
      <c r="O46" s="30"/>
      <c r="P46" s="30"/>
      <c r="Q46" s="30"/>
      <c r="R46" s="30"/>
    </row>
    <row r="47" spans="2:18" x14ac:dyDescent="0.3">
      <c r="B47" s="29"/>
      <c r="C47" s="29"/>
      <c r="D47" s="29"/>
      <c r="E47" s="29"/>
      <c r="F47" s="30"/>
      <c r="G47" s="30"/>
      <c r="H47" s="30"/>
      <c r="I47" s="120" t="str">
        <f t="shared" si="2"/>
        <v/>
      </c>
      <c r="J47" s="127">
        <f t="shared" si="1"/>
        <v>0</v>
      </c>
      <c r="K47" s="30"/>
      <c r="L47" s="30"/>
      <c r="M47" s="30"/>
      <c r="N47" s="30"/>
      <c r="O47" s="30"/>
      <c r="P47" s="30"/>
      <c r="Q47" s="30"/>
      <c r="R47" s="30"/>
    </row>
    <row r="48" spans="2:18" x14ac:dyDescent="0.3">
      <c r="B48" s="29"/>
      <c r="C48" s="29"/>
      <c r="D48" s="29"/>
      <c r="E48" s="29"/>
      <c r="F48" s="30"/>
      <c r="G48" s="30"/>
      <c r="H48" s="30"/>
      <c r="I48" s="120" t="str">
        <f t="shared" si="2"/>
        <v/>
      </c>
      <c r="J48" s="127">
        <f t="shared" si="1"/>
        <v>0</v>
      </c>
      <c r="K48" s="30"/>
      <c r="L48" s="30"/>
      <c r="M48" s="30"/>
      <c r="N48" s="30"/>
      <c r="O48" s="30"/>
      <c r="P48" s="30"/>
      <c r="Q48" s="30"/>
      <c r="R48" s="30"/>
    </row>
    <row r="49" spans="2:18" x14ac:dyDescent="0.3">
      <c r="B49" s="29"/>
      <c r="C49" s="29"/>
      <c r="D49" s="29"/>
      <c r="E49" s="29"/>
      <c r="F49" s="30"/>
      <c r="G49" s="30"/>
      <c r="H49" s="30"/>
      <c r="I49" s="120" t="str">
        <f t="shared" si="2"/>
        <v/>
      </c>
      <c r="J49" s="127">
        <f t="shared" si="1"/>
        <v>0</v>
      </c>
      <c r="K49" s="30"/>
      <c r="L49" s="30"/>
      <c r="M49" s="30"/>
      <c r="N49" s="30"/>
      <c r="O49" s="30"/>
      <c r="P49" s="30"/>
      <c r="Q49" s="30"/>
      <c r="R49" s="30"/>
    </row>
    <row r="50" spans="2:18" x14ac:dyDescent="0.3">
      <c r="B50" s="29"/>
      <c r="C50" s="29"/>
      <c r="D50" s="29"/>
      <c r="E50" s="29"/>
      <c r="F50" s="30"/>
      <c r="G50" s="30"/>
      <c r="H50" s="30"/>
      <c r="I50" s="120" t="str">
        <f t="shared" si="2"/>
        <v/>
      </c>
      <c r="J50" s="127">
        <f t="shared" si="1"/>
        <v>0</v>
      </c>
      <c r="K50" s="30"/>
      <c r="L50" s="30"/>
      <c r="M50" s="30"/>
      <c r="N50" s="30"/>
      <c r="O50" s="30"/>
      <c r="P50" s="30"/>
      <c r="Q50" s="30"/>
      <c r="R50" s="30"/>
    </row>
    <row r="51" spans="2:18" x14ac:dyDescent="0.3">
      <c r="B51" s="29"/>
      <c r="C51" s="29"/>
      <c r="D51" s="29"/>
      <c r="E51" s="29"/>
      <c r="F51" s="30"/>
      <c r="G51" s="30"/>
      <c r="H51" s="30"/>
      <c r="I51" s="120" t="str">
        <f t="shared" si="2"/>
        <v/>
      </c>
      <c r="J51" s="127">
        <f t="shared" si="1"/>
        <v>0</v>
      </c>
      <c r="K51" s="30"/>
      <c r="L51" s="30"/>
      <c r="M51" s="30"/>
      <c r="N51" s="30"/>
      <c r="O51" s="30"/>
      <c r="P51" s="30"/>
      <c r="Q51" s="30"/>
      <c r="R51" s="30"/>
    </row>
    <row r="52" spans="2:18" x14ac:dyDescent="0.3">
      <c r="B52" s="29"/>
      <c r="C52" s="29"/>
      <c r="D52" s="29"/>
      <c r="E52" s="29"/>
      <c r="F52" s="30"/>
      <c r="G52" s="30"/>
      <c r="H52" s="30"/>
      <c r="I52" s="120" t="str">
        <f t="shared" si="2"/>
        <v/>
      </c>
      <c r="J52" s="127">
        <f t="shared" si="1"/>
        <v>0</v>
      </c>
      <c r="K52" s="30"/>
      <c r="L52" s="30"/>
      <c r="M52" s="30"/>
      <c r="N52" s="30"/>
      <c r="O52" s="30"/>
      <c r="P52" s="30"/>
      <c r="Q52" s="30"/>
      <c r="R52" s="30"/>
    </row>
    <row r="53" spans="2:18" x14ac:dyDescent="0.3">
      <c r="B53" s="29"/>
      <c r="C53" s="29"/>
      <c r="D53" s="29"/>
      <c r="E53" s="29"/>
      <c r="F53" s="30"/>
      <c r="G53" s="30"/>
      <c r="H53" s="30"/>
      <c r="I53" s="120" t="str">
        <f t="shared" si="2"/>
        <v/>
      </c>
      <c r="J53" s="127">
        <f t="shared" si="1"/>
        <v>0</v>
      </c>
      <c r="K53" s="30"/>
      <c r="L53" s="30"/>
      <c r="M53" s="30"/>
      <c r="N53" s="30"/>
      <c r="O53" s="30"/>
      <c r="P53" s="30"/>
      <c r="Q53" s="30"/>
      <c r="R53" s="30"/>
    </row>
    <row r="54" spans="2:18" x14ac:dyDescent="0.3">
      <c r="B54" s="29"/>
      <c r="C54" s="29"/>
      <c r="D54" s="29"/>
      <c r="E54" s="29"/>
      <c r="F54" s="30"/>
      <c r="G54" s="30"/>
      <c r="H54" s="30"/>
      <c r="I54" s="120"/>
      <c r="J54" s="127">
        <f t="shared" si="1"/>
        <v>0</v>
      </c>
      <c r="K54" s="30"/>
      <c r="L54" s="30"/>
      <c r="M54" s="30"/>
      <c r="N54" s="30"/>
      <c r="O54" s="30"/>
      <c r="P54" s="30"/>
      <c r="Q54" s="30"/>
      <c r="R54" s="30"/>
    </row>
    <row r="55" spans="2:18" x14ac:dyDescent="0.3">
      <c r="B55" s="29"/>
      <c r="C55" s="29"/>
      <c r="D55" s="29"/>
      <c r="E55" s="29"/>
      <c r="F55" s="30"/>
      <c r="G55" s="30"/>
      <c r="H55" s="30"/>
      <c r="I55" s="120"/>
      <c r="J55" s="127">
        <f t="shared" si="1"/>
        <v>0</v>
      </c>
      <c r="K55" s="30"/>
      <c r="L55" s="30"/>
      <c r="M55" s="30"/>
      <c r="N55" s="30"/>
      <c r="O55" s="30"/>
      <c r="P55" s="30"/>
      <c r="Q55" s="30"/>
      <c r="R55" s="30"/>
    </row>
    <row r="56" spans="2:18" x14ac:dyDescent="0.3">
      <c r="B56" s="29"/>
      <c r="C56" s="29"/>
      <c r="D56" s="29"/>
      <c r="E56" s="29"/>
      <c r="F56" s="30"/>
      <c r="G56" s="30"/>
      <c r="H56" s="30"/>
      <c r="I56" s="120"/>
      <c r="J56" s="127">
        <f t="shared" si="1"/>
        <v>0</v>
      </c>
      <c r="K56" s="30"/>
      <c r="L56" s="30"/>
      <c r="M56" s="30"/>
      <c r="N56" s="30"/>
      <c r="O56" s="30"/>
      <c r="P56" s="30"/>
      <c r="Q56" s="30"/>
      <c r="R56" s="30"/>
    </row>
    <row r="57" spans="2:18" x14ac:dyDescent="0.3">
      <c r="B57" s="29"/>
      <c r="C57" s="29"/>
      <c r="D57" s="29"/>
      <c r="E57" s="29"/>
      <c r="F57" s="30"/>
      <c r="G57" s="30"/>
      <c r="H57" s="30"/>
      <c r="I57" s="120"/>
      <c r="J57" s="127">
        <f t="shared" si="1"/>
        <v>0</v>
      </c>
      <c r="K57" s="30"/>
      <c r="L57" s="30"/>
      <c r="M57" s="30"/>
      <c r="N57" s="30"/>
      <c r="O57" s="30"/>
      <c r="P57" s="30"/>
      <c r="Q57" s="30"/>
      <c r="R57" s="30"/>
    </row>
    <row r="58" spans="2:18" x14ac:dyDescent="0.3">
      <c r="B58" s="29"/>
      <c r="C58" s="29"/>
      <c r="D58" s="29"/>
      <c r="E58" s="29"/>
      <c r="F58" s="30"/>
      <c r="G58" s="30"/>
      <c r="H58" s="30"/>
      <c r="I58" s="120"/>
      <c r="J58" s="127">
        <f t="shared" si="1"/>
        <v>0</v>
      </c>
      <c r="K58" s="30"/>
      <c r="L58" s="30"/>
      <c r="M58" s="30"/>
      <c r="N58" s="30"/>
      <c r="O58" s="30"/>
      <c r="P58" s="30"/>
      <c r="Q58" s="30"/>
      <c r="R58" s="30"/>
    </row>
    <row r="59" spans="2:18" x14ac:dyDescent="0.3">
      <c r="B59" s="29"/>
      <c r="C59" s="29"/>
      <c r="D59" s="29"/>
      <c r="E59" s="29"/>
      <c r="F59" s="30"/>
      <c r="G59" s="30"/>
      <c r="H59" s="30"/>
      <c r="I59" s="120"/>
      <c r="J59" s="127">
        <f t="shared" si="1"/>
        <v>0</v>
      </c>
      <c r="K59" s="30"/>
      <c r="L59" s="30"/>
      <c r="M59" s="30"/>
      <c r="N59" s="30"/>
      <c r="O59" s="30"/>
      <c r="P59" s="30"/>
      <c r="Q59" s="30"/>
      <c r="R59" s="30"/>
    </row>
    <row r="60" spans="2:18" x14ac:dyDescent="0.3">
      <c r="B60" s="29"/>
      <c r="C60" s="29"/>
      <c r="D60" s="29"/>
      <c r="E60" s="29"/>
      <c r="F60" s="30"/>
      <c r="G60" s="30"/>
      <c r="H60" s="30"/>
      <c r="I60" s="120"/>
      <c r="J60" s="127">
        <f t="shared" si="1"/>
        <v>0</v>
      </c>
      <c r="K60" s="30"/>
      <c r="L60" s="30"/>
      <c r="M60" s="30"/>
      <c r="N60" s="30"/>
      <c r="O60" s="30"/>
      <c r="P60" s="30"/>
      <c r="Q60" s="30"/>
      <c r="R60" s="30"/>
    </row>
    <row r="61" spans="2:18" x14ac:dyDescent="0.3">
      <c r="B61" s="29"/>
      <c r="C61" s="29"/>
      <c r="D61" s="29"/>
      <c r="E61" s="29"/>
      <c r="F61" s="30"/>
      <c r="G61" s="30"/>
      <c r="H61" s="30"/>
      <c r="I61" s="120"/>
      <c r="J61" s="127">
        <f t="shared" si="1"/>
        <v>0</v>
      </c>
      <c r="K61" s="30"/>
      <c r="L61" s="30"/>
      <c r="M61" s="30"/>
      <c r="N61" s="30"/>
      <c r="O61" s="30"/>
      <c r="P61" s="30"/>
      <c r="Q61" s="30"/>
      <c r="R61" s="30"/>
    </row>
    <row r="62" spans="2:18" x14ac:dyDescent="0.3">
      <c r="B62" s="29"/>
      <c r="C62" s="29"/>
      <c r="D62" s="29"/>
      <c r="E62" s="29"/>
      <c r="F62" s="30"/>
      <c r="G62" s="30"/>
      <c r="H62" s="30"/>
      <c r="I62" s="120"/>
      <c r="J62" s="120"/>
      <c r="K62" s="30"/>
      <c r="L62" s="30"/>
      <c r="M62" s="30"/>
      <c r="N62" s="30"/>
      <c r="O62" s="30"/>
      <c r="P62" s="30"/>
      <c r="Q62" s="30"/>
      <c r="R62" s="30"/>
    </row>
    <row r="63" spans="2:18" x14ac:dyDescent="0.3">
      <c r="B63" s="29"/>
      <c r="C63" s="29"/>
      <c r="D63" s="29"/>
      <c r="E63" s="29"/>
      <c r="F63" s="30"/>
      <c r="G63" s="30"/>
      <c r="H63" s="30"/>
      <c r="I63" s="120"/>
      <c r="J63" s="120"/>
      <c r="K63" s="30"/>
      <c r="L63" s="30"/>
      <c r="M63" s="30"/>
      <c r="N63" s="30"/>
      <c r="O63" s="30"/>
      <c r="P63" s="30"/>
      <c r="Q63" s="30"/>
      <c r="R63" s="30"/>
    </row>
    <row r="64" spans="2:18" x14ac:dyDescent="0.3">
      <c r="B64" s="29"/>
      <c r="C64" s="29"/>
      <c r="D64" s="29"/>
      <c r="E64" s="29"/>
      <c r="F64" s="30"/>
      <c r="G64" s="30"/>
      <c r="H64" s="30"/>
      <c r="I64" s="120"/>
      <c r="J64" s="120"/>
      <c r="K64" s="30"/>
      <c r="L64" s="30"/>
      <c r="M64" s="30"/>
      <c r="N64" s="30"/>
      <c r="O64" s="30"/>
      <c r="P64" s="30"/>
      <c r="Q64" s="30"/>
      <c r="R64" s="30"/>
    </row>
    <row r="65" spans="2:18" x14ac:dyDescent="0.3">
      <c r="B65" s="29"/>
      <c r="C65" s="29"/>
      <c r="D65" s="29"/>
      <c r="E65" s="29"/>
      <c r="F65" s="30"/>
      <c r="G65" s="30"/>
      <c r="H65" s="30"/>
      <c r="I65" s="120"/>
      <c r="J65" s="120"/>
      <c r="K65" s="30"/>
      <c r="L65" s="30"/>
      <c r="M65" s="30"/>
      <c r="N65" s="30"/>
      <c r="O65" s="30"/>
      <c r="P65" s="30"/>
      <c r="Q65" s="30"/>
      <c r="R65" s="30"/>
    </row>
    <row r="66" spans="2:18" x14ac:dyDescent="0.3">
      <c r="B66" s="29"/>
      <c r="C66" s="29"/>
      <c r="D66" s="29"/>
      <c r="E66" s="29"/>
      <c r="F66" s="30"/>
      <c r="G66" s="30"/>
      <c r="H66" s="30"/>
      <c r="I66" s="120"/>
      <c r="J66" s="120"/>
      <c r="K66" s="30"/>
      <c r="L66" s="30"/>
      <c r="M66" s="30"/>
      <c r="N66" s="30"/>
      <c r="O66" s="30"/>
      <c r="P66" s="30"/>
      <c r="Q66" s="30"/>
      <c r="R66" s="30"/>
    </row>
    <row r="67" spans="2:18" x14ac:dyDescent="0.3">
      <c r="B67" s="29"/>
      <c r="C67" s="29"/>
      <c r="D67" s="29"/>
      <c r="E67" s="29"/>
      <c r="F67" s="30"/>
      <c r="G67" s="30"/>
      <c r="H67" s="30"/>
      <c r="I67" s="120"/>
      <c r="J67" s="120"/>
      <c r="K67" s="30"/>
      <c r="L67" s="30"/>
      <c r="M67" s="30"/>
      <c r="N67" s="30"/>
      <c r="O67" s="30"/>
      <c r="P67" s="30"/>
      <c r="Q67" s="30"/>
      <c r="R67" s="30"/>
    </row>
    <row r="68" spans="2:18" x14ac:dyDescent="0.3">
      <c r="B68" s="29"/>
      <c r="C68" s="29"/>
      <c r="D68" s="29"/>
      <c r="E68" s="29"/>
      <c r="F68" s="30"/>
      <c r="G68" s="30"/>
      <c r="H68" s="30"/>
      <c r="I68" s="120"/>
      <c r="J68" s="120"/>
      <c r="K68" s="30"/>
      <c r="L68" s="30"/>
      <c r="M68" s="30"/>
      <c r="N68" s="30"/>
      <c r="O68" s="30"/>
      <c r="P68" s="30"/>
      <c r="Q68" s="30"/>
      <c r="R68" s="30"/>
    </row>
    <row r="69" spans="2:18" x14ac:dyDescent="0.3">
      <c r="B69" s="29"/>
      <c r="C69" s="29"/>
      <c r="D69" s="29"/>
      <c r="E69" s="29"/>
      <c r="F69" s="30"/>
      <c r="G69" s="30"/>
      <c r="H69" s="30"/>
      <c r="I69" s="120"/>
      <c r="J69" s="120"/>
      <c r="K69" s="30"/>
      <c r="L69" s="30"/>
      <c r="M69" s="30"/>
      <c r="N69" s="30"/>
      <c r="O69" s="30"/>
      <c r="P69" s="30"/>
      <c r="Q69" s="30"/>
      <c r="R69" s="30"/>
    </row>
    <row r="70" spans="2:18" x14ac:dyDescent="0.3">
      <c r="B70" s="29"/>
      <c r="C70" s="29"/>
      <c r="D70" s="29"/>
      <c r="E70" s="29"/>
      <c r="F70" s="30"/>
      <c r="G70" s="30"/>
      <c r="H70" s="30"/>
      <c r="I70" s="120"/>
      <c r="J70" s="120"/>
      <c r="K70" s="30"/>
      <c r="L70" s="30"/>
      <c r="M70" s="30"/>
      <c r="N70" s="30"/>
      <c r="O70" s="30"/>
      <c r="P70" s="30"/>
      <c r="Q70" s="30"/>
      <c r="R70" s="30"/>
    </row>
    <row r="71" spans="2:18" x14ac:dyDescent="0.3">
      <c r="B71" s="29"/>
      <c r="C71" s="29"/>
      <c r="D71" s="29"/>
      <c r="E71" s="29"/>
      <c r="F71" s="30"/>
      <c r="G71" s="30"/>
      <c r="H71" s="30"/>
      <c r="I71" s="120"/>
      <c r="J71" s="120"/>
      <c r="K71" s="30"/>
      <c r="L71" s="30"/>
      <c r="M71" s="30"/>
      <c r="N71" s="30"/>
      <c r="O71" s="30"/>
      <c r="P71" s="30"/>
      <c r="Q71" s="30"/>
      <c r="R71" s="30"/>
    </row>
    <row r="72" spans="2:18" x14ac:dyDescent="0.3">
      <c r="B72" s="29"/>
      <c r="C72" s="29"/>
      <c r="D72" s="29"/>
      <c r="E72" s="29"/>
      <c r="F72" s="30"/>
      <c r="G72" s="30"/>
      <c r="H72" s="30"/>
      <c r="I72" s="120"/>
      <c r="J72" s="120"/>
      <c r="K72" s="30"/>
      <c r="L72" s="30"/>
      <c r="M72" s="30"/>
      <c r="N72" s="30"/>
      <c r="O72" s="30"/>
      <c r="P72" s="30"/>
      <c r="Q72" s="30"/>
      <c r="R72" s="30"/>
    </row>
    <row r="73" spans="2:18" x14ac:dyDescent="0.3">
      <c r="B73" s="29"/>
      <c r="C73" s="29"/>
      <c r="D73" s="29"/>
      <c r="E73" s="29"/>
      <c r="F73" s="30"/>
      <c r="G73" s="30"/>
      <c r="H73" s="30"/>
      <c r="I73" s="120"/>
      <c r="J73" s="120"/>
      <c r="K73" s="30"/>
      <c r="L73" s="30"/>
      <c r="M73" s="30"/>
      <c r="N73" s="30"/>
      <c r="O73" s="30"/>
      <c r="P73" s="30"/>
      <c r="Q73" s="30"/>
      <c r="R73" s="30"/>
    </row>
    <row r="74" spans="2:18" x14ac:dyDescent="0.3">
      <c r="B74" s="29"/>
      <c r="C74" s="29"/>
      <c r="D74" s="29"/>
      <c r="E74" s="29"/>
      <c r="F74" s="30"/>
      <c r="G74" s="30"/>
      <c r="H74" s="30"/>
      <c r="I74" s="120"/>
      <c r="J74" s="120"/>
      <c r="K74" s="30"/>
      <c r="L74" s="30"/>
      <c r="M74" s="30"/>
      <c r="N74" s="30"/>
      <c r="O74" s="30"/>
      <c r="P74" s="30"/>
      <c r="Q74" s="30"/>
      <c r="R74" s="30"/>
    </row>
    <row r="75" spans="2:18" x14ac:dyDescent="0.3">
      <c r="B75" s="29"/>
      <c r="C75" s="29"/>
      <c r="D75" s="29"/>
      <c r="E75" s="29"/>
      <c r="F75" s="30"/>
      <c r="G75" s="30"/>
      <c r="H75" s="30"/>
      <c r="I75" s="120"/>
      <c r="J75" s="120"/>
      <c r="K75" s="30"/>
      <c r="L75" s="30"/>
      <c r="M75" s="30"/>
      <c r="N75" s="30"/>
      <c r="O75" s="30"/>
      <c r="P75" s="30"/>
      <c r="Q75" s="30"/>
      <c r="R75" s="30"/>
    </row>
    <row r="76" spans="2:18" x14ac:dyDescent="0.3">
      <c r="B76" s="29"/>
      <c r="C76" s="29"/>
      <c r="D76" s="29"/>
      <c r="E76" s="29"/>
      <c r="F76" s="30"/>
      <c r="G76" s="30"/>
      <c r="H76" s="30"/>
      <c r="I76" s="120"/>
      <c r="J76" s="120"/>
      <c r="K76" s="30"/>
      <c r="L76" s="30"/>
      <c r="M76" s="30"/>
      <c r="N76" s="30"/>
      <c r="O76" s="30"/>
      <c r="P76" s="30"/>
      <c r="Q76" s="30"/>
      <c r="R76" s="30"/>
    </row>
    <row r="77" spans="2:18" x14ac:dyDescent="0.3">
      <c r="B77" s="29"/>
      <c r="C77" s="29"/>
      <c r="D77" s="29"/>
      <c r="E77" s="29"/>
      <c r="F77" s="30"/>
      <c r="G77" s="30"/>
      <c r="H77" s="30"/>
      <c r="I77" s="120"/>
      <c r="J77" s="120"/>
      <c r="K77" s="30"/>
      <c r="L77" s="30"/>
      <c r="M77" s="30"/>
      <c r="N77" s="30"/>
      <c r="O77" s="30"/>
      <c r="P77" s="30"/>
      <c r="Q77" s="30"/>
      <c r="R77" s="30"/>
    </row>
    <row r="78" spans="2:18" x14ac:dyDescent="0.3">
      <c r="B78" s="29"/>
      <c r="C78" s="29"/>
      <c r="D78" s="29"/>
      <c r="E78" s="29"/>
      <c r="F78" s="30"/>
      <c r="G78" s="30"/>
      <c r="H78" s="30"/>
      <c r="I78" s="120"/>
      <c r="J78" s="120"/>
      <c r="K78" s="30"/>
      <c r="L78" s="30"/>
      <c r="M78" s="30"/>
      <c r="N78" s="30"/>
      <c r="O78" s="30"/>
      <c r="P78" s="30"/>
      <c r="Q78" s="30"/>
      <c r="R78" s="30"/>
    </row>
    <row r="79" spans="2:18" x14ac:dyDescent="0.3">
      <c r="B79" s="29"/>
      <c r="C79" s="29"/>
      <c r="D79" s="29"/>
      <c r="E79" s="29"/>
      <c r="F79" s="30"/>
      <c r="G79" s="30"/>
      <c r="H79" s="30"/>
      <c r="I79" s="120"/>
      <c r="J79" s="120"/>
      <c r="K79" s="30"/>
      <c r="L79" s="30"/>
      <c r="M79" s="30"/>
      <c r="N79" s="30"/>
      <c r="O79" s="30"/>
      <c r="P79" s="30"/>
      <c r="Q79" s="30"/>
      <c r="R79" s="30"/>
    </row>
    <row r="80" spans="2:18" x14ac:dyDescent="0.3">
      <c r="B80" s="29"/>
      <c r="C80" s="29"/>
      <c r="D80" s="29"/>
      <c r="E80" s="29"/>
      <c r="F80" s="30"/>
      <c r="G80" s="30"/>
      <c r="H80" s="30"/>
      <c r="I80" s="120"/>
      <c r="J80" s="120"/>
      <c r="K80" s="30"/>
      <c r="L80" s="30"/>
      <c r="M80" s="30"/>
      <c r="N80" s="30"/>
      <c r="O80" s="30"/>
      <c r="P80" s="30"/>
      <c r="Q80" s="30"/>
      <c r="R80" s="30"/>
    </row>
    <row r="81" spans="2:18" x14ac:dyDescent="0.3">
      <c r="B81" s="29"/>
      <c r="C81" s="29"/>
      <c r="D81" s="29"/>
      <c r="E81" s="29"/>
      <c r="F81" s="30"/>
      <c r="G81" s="30"/>
      <c r="H81" s="30"/>
      <c r="I81" s="120"/>
      <c r="J81" s="120"/>
      <c r="K81" s="30"/>
      <c r="L81" s="30"/>
      <c r="M81" s="30"/>
      <c r="N81" s="30"/>
      <c r="O81" s="30"/>
      <c r="P81" s="30"/>
      <c r="Q81" s="30"/>
      <c r="R81" s="30"/>
    </row>
    <row r="82" spans="2:18" x14ac:dyDescent="0.3">
      <c r="B82" s="29"/>
      <c r="C82" s="29"/>
      <c r="D82" s="29"/>
      <c r="E82" s="29"/>
      <c r="F82" s="30"/>
      <c r="G82" s="30"/>
      <c r="H82" s="30"/>
      <c r="I82" s="120"/>
      <c r="J82" s="120"/>
      <c r="K82" s="30"/>
      <c r="L82" s="30"/>
      <c r="M82" s="30"/>
      <c r="N82" s="30"/>
      <c r="O82" s="30"/>
      <c r="P82" s="30"/>
      <c r="Q82" s="30"/>
      <c r="R82" s="30"/>
    </row>
    <row r="83" spans="2:18" x14ac:dyDescent="0.3">
      <c r="B83" s="29"/>
      <c r="C83" s="29"/>
      <c r="D83" s="29"/>
      <c r="E83" s="29"/>
      <c r="F83" s="30"/>
      <c r="G83" s="30"/>
      <c r="H83" s="30"/>
      <c r="I83" s="120"/>
      <c r="J83" s="120"/>
      <c r="K83" s="30"/>
      <c r="L83" s="30"/>
      <c r="M83" s="30"/>
      <c r="N83" s="30"/>
      <c r="O83" s="30"/>
      <c r="P83" s="30"/>
      <c r="Q83" s="30"/>
      <c r="R83" s="30"/>
    </row>
    <row r="84" spans="2:18" x14ac:dyDescent="0.3">
      <c r="B84" s="29"/>
      <c r="C84" s="29"/>
      <c r="D84" s="29"/>
      <c r="E84" s="29"/>
      <c r="F84" s="30"/>
      <c r="G84" s="30"/>
      <c r="H84" s="30"/>
      <c r="I84" s="120"/>
      <c r="J84" s="120"/>
      <c r="K84" s="30"/>
      <c r="L84" s="30"/>
      <c r="M84" s="30"/>
      <c r="N84" s="30"/>
      <c r="O84" s="30"/>
      <c r="P84" s="30"/>
      <c r="Q84" s="30"/>
      <c r="R84" s="30"/>
    </row>
    <row r="85" spans="2:18" x14ac:dyDescent="0.3">
      <c r="B85" s="29"/>
      <c r="C85" s="29"/>
      <c r="D85" s="29"/>
      <c r="E85" s="29"/>
      <c r="F85" s="30"/>
      <c r="G85" s="30"/>
      <c r="H85" s="30"/>
      <c r="I85" s="120"/>
      <c r="J85" s="120"/>
      <c r="K85" s="30"/>
      <c r="L85" s="30"/>
      <c r="M85" s="30"/>
      <c r="N85" s="30"/>
      <c r="O85" s="30"/>
      <c r="P85" s="30"/>
      <c r="Q85" s="30"/>
      <c r="R85" s="30"/>
    </row>
    <row r="86" spans="2:18" x14ac:dyDescent="0.3">
      <c r="B86" s="29"/>
      <c r="C86" s="29"/>
      <c r="D86" s="29"/>
      <c r="E86" s="29"/>
      <c r="F86" s="30"/>
      <c r="G86" s="30"/>
      <c r="H86" s="30"/>
      <c r="I86" s="120"/>
      <c r="J86" s="120"/>
      <c r="K86" s="30"/>
      <c r="L86" s="30"/>
      <c r="M86" s="30"/>
      <c r="N86" s="30"/>
      <c r="O86" s="30"/>
      <c r="P86" s="30"/>
      <c r="Q86" s="30"/>
      <c r="R86" s="30"/>
    </row>
    <row r="87" spans="2:18" x14ac:dyDescent="0.3">
      <c r="B87" s="29"/>
      <c r="C87" s="29"/>
      <c r="D87" s="29"/>
      <c r="E87" s="29"/>
      <c r="F87" s="30"/>
      <c r="G87" s="30"/>
      <c r="H87" s="30"/>
      <c r="I87" s="120"/>
      <c r="J87" s="120"/>
      <c r="K87" s="30"/>
      <c r="L87" s="30"/>
      <c r="M87" s="30"/>
      <c r="N87" s="30"/>
      <c r="O87" s="30"/>
      <c r="P87" s="30"/>
      <c r="Q87" s="30"/>
      <c r="R87" s="30"/>
    </row>
    <row r="88" spans="2:18" x14ac:dyDescent="0.3">
      <c r="B88" s="29"/>
      <c r="C88" s="29"/>
      <c r="D88" s="29"/>
      <c r="E88" s="29"/>
      <c r="F88" s="30"/>
      <c r="G88" s="30"/>
      <c r="H88" s="30"/>
      <c r="I88" s="120"/>
      <c r="J88" s="120"/>
      <c r="K88" s="30"/>
      <c r="L88" s="30"/>
      <c r="M88" s="30"/>
      <c r="N88" s="30"/>
      <c r="O88" s="30"/>
      <c r="P88" s="30"/>
      <c r="Q88" s="30"/>
      <c r="R88" s="30"/>
    </row>
    <row r="89" spans="2:18" x14ac:dyDescent="0.3">
      <c r="B89" s="29"/>
      <c r="C89" s="29"/>
      <c r="D89" s="29"/>
      <c r="E89" s="29"/>
      <c r="F89" s="30"/>
      <c r="G89" s="30"/>
      <c r="H89" s="30"/>
      <c r="I89" s="120"/>
      <c r="J89" s="120"/>
      <c r="K89" s="30"/>
      <c r="L89" s="30"/>
      <c r="M89" s="30"/>
      <c r="N89" s="30"/>
      <c r="O89" s="30"/>
      <c r="P89" s="30"/>
      <c r="Q89" s="30"/>
      <c r="R89" s="30"/>
    </row>
    <row r="90" spans="2:18" x14ac:dyDescent="0.3">
      <c r="B90" s="29"/>
      <c r="C90" s="29"/>
      <c r="D90" s="29"/>
      <c r="E90" s="29"/>
      <c r="F90" s="30"/>
      <c r="G90" s="30"/>
      <c r="H90" s="30"/>
      <c r="I90" s="120"/>
      <c r="J90" s="120"/>
      <c r="K90" s="30"/>
      <c r="L90" s="30"/>
      <c r="M90" s="30"/>
      <c r="N90" s="30"/>
      <c r="O90" s="30"/>
      <c r="P90" s="30"/>
      <c r="Q90" s="30"/>
      <c r="R90" s="30"/>
    </row>
    <row r="91" spans="2:18" x14ac:dyDescent="0.3">
      <c r="B91" s="29"/>
      <c r="C91" s="29"/>
      <c r="D91" s="29"/>
      <c r="E91" s="29"/>
      <c r="F91" s="30"/>
      <c r="G91" s="30"/>
      <c r="H91" s="30"/>
      <c r="I91" s="120"/>
      <c r="J91" s="120"/>
      <c r="K91" s="30"/>
      <c r="L91" s="30"/>
      <c r="M91" s="30"/>
      <c r="N91" s="30"/>
      <c r="O91" s="30"/>
      <c r="P91" s="30"/>
      <c r="Q91" s="30"/>
      <c r="R91" s="30"/>
    </row>
    <row r="92" spans="2:18" x14ac:dyDescent="0.3">
      <c r="B92" s="29"/>
      <c r="C92" s="29"/>
      <c r="D92" s="29"/>
      <c r="E92" s="29"/>
      <c r="F92" s="30"/>
      <c r="G92" s="30"/>
      <c r="H92" s="30"/>
      <c r="I92" s="120"/>
      <c r="J92" s="120"/>
      <c r="K92" s="30"/>
      <c r="L92" s="30"/>
      <c r="M92" s="30"/>
      <c r="N92" s="30"/>
      <c r="O92" s="30"/>
      <c r="P92" s="30"/>
      <c r="Q92" s="30"/>
      <c r="R92" s="30"/>
    </row>
    <row r="93" spans="2:18" x14ac:dyDescent="0.3">
      <c r="B93" s="29"/>
      <c r="C93" s="29"/>
      <c r="D93" s="29"/>
      <c r="E93" s="29"/>
      <c r="F93" s="30"/>
      <c r="G93" s="30"/>
      <c r="H93" s="30"/>
      <c r="I93" s="120"/>
      <c r="J93" s="120"/>
      <c r="K93" s="30"/>
      <c r="L93" s="30"/>
      <c r="M93" s="30"/>
      <c r="N93" s="30"/>
      <c r="O93" s="30"/>
      <c r="P93" s="30"/>
      <c r="Q93" s="30"/>
      <c r="R93" s="30"/>
    </row>
    <row r="94" spans="2:18" x14ac:dyDescent="0.3">
      <c r="B94" s="29"/>
      <c r="C94" s="29"/>
      <c r="D94" s="29"/>
      <c r="E94" s="29"/>
      <c r="F94" s="30"/>
      <c r="G94" s="30"/>
      <c r="H94" s="30"/>
      <c r="I94" s="120"/>
      <c r="J94" s="120"/>
      <c r="K94" s="30"/>
      <c r="L94" s="30"/>
      <c r="M94" s="30"/>
      <c r="N94" s="30"/>
      <c r="O94" s="30"/>
      <c r="P94" s="30"/>
      <c r="Q94" s="30"/>
      <c r="R94" s="30"/>
    </row>
    <row r="95" spans="2:18" x14ac:dyDescent="0.3">
      <c r="B95" s="29"/>
      <c r="C95" s="29"/>
      <c r="D95" s="29"/>
      <c r="E95" s="29"/>
      <c r="F95" s="30"/>
      <c r="G95" s="30"/>
      <c r="H95" s="30"/>
      <c r="I95" s="120"/>
      <c r="J95" s="120"/>
      <c r="K95" s="30"/>
      <c r="L95" s="30"/>
      <c r="M95" s="30"/>
      <c r="N95" s="30"/>
      <c r="O95" s="30"/>
      <c r="P95" s="30"/>
      <c r="Q95" s="30"/>
      <c r="R95" s="30"/>
    </row>
    <row r="96" spans="2:18" x14ac:dyDescent="0.3">
      <c r="B96" s="29"/>
      <c r="C96" s="29"/>
      <c r="D96" s="29"/>
      <c r="E96" s="29"/>
      <c r="F96" s="30"/>
      <c r="G96" s="30"/>
      <c r="H96" s="30"/>
      <c r="I96" s="120"/>
      <c r="J96" s="120"/>
      <c r="K96" s="30"/>
      <c r="L96" s="30"/>
      <c r="M96" s="30"/>
      <c r="N96" s="30"/>
      <c r="O96" s="30"/>
      <c r="P96" s="30"/>
      <c r="Q96" s="30"/>
      <c r="R96" s="30"/>
    </row>
    <row r="97" spans="2:18" x14ac:dyDescent="0.3">
      <c r="B97" s="29"/>
      <c r="C97" s="29"/>
      <c r="D97" s="29"/>
      <c r="E97" s="29"/>
      <c r="F97" s="30"/>
      <c r="G97" s="30"/>
      <c r="H97" s="30"/>
      <c r="I97" s="120"/>
      <c r="J97" s="120"/>
      <c r="K97" s="30"/>
      <c r="L97" s="30"/>
      <c r="M97" s="30"/>
      <c r="N97" s="30"/>
      <c r="O97" s="30"/>
      <c r="P97" s="30"/>
      <c r="Q97" s="30"/>
      <c r="R97" s="30"/>
    </row>
    <row r="98" spans="2:18" x14ac:dyDescent="0.3">
      <c r="B98" s="29"/>
      <c r="C98" s="29"/>
      <c r="D98" s="29"/>
      <c r="E98" s="29"/>
      <c r="F98" s="30"/>
      <c r="G98" s="30"/>
      <c r="H98" s="30"/>
      <c r="I98" s="120"/>
      <c r="J98" s="120"/>
      <c r="K98" s="30"/>
      <c r="L98" s="30"/>
      <c r="M98" s="30"/>
      <c r="N98" s="30"/>
      <c r="O98" s="30"/>
      <c r="P98" s="30"/>
      <c r="Q98" s="30"/>
      <c r="R98" s="30"/>
    </row>
    <row r="99" spans="2:18" x14ac:dyDescent="0.3">
      <c r="B99" s="29"/>
      <c r="C99" s="29"/>
      <c r="D99" s="29"/>
      <c r="E99" s="29"/>
      <c r="F99" s="30"/>
      <c r="G99" s="30"/>
      <c r="H99" s="30"/>
      <c r="I99" s="120"/>
      <c r="J99" s="120"/>
      <c r="K99" s="30"/>
      <c r="L99" s="30"/>
      <c r="M99" s="30"/>
      <c r="N99" s="30"/>
      <c r="O99" s="30"/>
      <c r="P99" s="30"/>
      <c r="Q99" s="30"/>
      <c r="R99" s="30"/>
    </row>
    <row r="100" spans="2:18" x14ac:dyDescent="0.3">
      <c r="B100" s="29"/>
      <c r="C100" s="29"/>
      <c r="D100" s="29"/>
      <c r="E100" s="29"/>
      <c r="F100" s="30"/>
      <c r="G100" s="30"/>
      <c r="H100" s="30"/>
      <c r="I100" s="120"/>
      <c r="J100" s="120"/>
      <c r="K100" s="30"/>
      <c r="L100" s="30"/>
      <c r="M100" s="30"/>
      <c r="N100" s="30"/>
      <c r="O100" s="30"/>
      <c r="P100" s="30"/>
      <c r="Q100" s="30"/>
      <c r="R100" s="30"/>
    </row>
    <row r="101" spans="2:18" x14ac:dyDescent="0.3">
      <c r="B101" s="29"/>
      <c r="C101" s="29"/>
      <c r="D101" s="29"/>
      <c r="E101" s="29"/>
      <c r="F101" s="30"/>
      <c r="G101" s="30"/>
      <c r="H101" s="30"/>
      <c r="I101" s="120"/>
      <c r="J101" s="120"/>
      <c r="K101" s="30"/>
      <c r="L101" s="30"/>
      <c r="M101" s="30"/>
      <c r="N101" s="30"/>
      <c r="O101" s="30"/>
      <c r="P101" s="30"/>
      <c r="Q101" s="30"/>
      <c r="R101" s="30"/>
    </row>
    <row r="102" spans="2:18" x14ac:dyDescent="0.3">
      <c r="B102" s="29"/>
      <c r="C102" s="29"/>
      <c r="D102" s="29"/>
      <c r="E102" s="29"/>
      <c r="F102" s="30"/>
      <c r="G102" s="30"/>
      <c r="H102" s="30"/>
      <c r="I102" s="120"/>
      <c r="J102" s="120"/>
      <c r="K102" s="30"/>
      <c r="L102" s="30"/>
      <c r="M102" s="30"/>
      <c r="N102" s="30"/>
      <c r="O102" s="30"/>
      <c r="P102" s="30"/>
      <c r="Q102" s="30"/>
      <c r="R102" s="30"/>
    </row>
    <row r="103" spans="2:18" x14ac:dyDescent="0.3">
      <c r="B103" s="29"/>
      <c r="C103" s="29"/>
      <c r="D103" s="29"/>
      <c r="E103" s="29"/>
      <c r="F103" s="30"/>
      <c r="G103" s="30"/>
      <c r="H103" s="30"/>
      <c r="I103" s="120"/>
      <c r="J103" s="120"/>
      <c r="K103" s="30"/>
      <c r="L103" s="30"/>
      <c r="M103" s="30"/>
      <c r="N103" s="30"/>
      <c r="O103" s="30"/>
      <c r="P103" s="30"/>
      <c r="Q103" s="30"/>
      <c r="R103" s="30"/>
    </row>
    <row r="104" spans="2:18" x14ac:dyDescent="0.3">
      <c r="B104" s="29"/>
      <c r="C104" s="29"/>
      <c r="D104" s="29"/>
      <c r="E104" s="29"/>
      <c r="F104" s="30"/>
      <c r="G104" s="30"/>
      <c r="H104" s="30"/>
      <c r="I104" s="120"/>
      <c r="J104" s="120"/>
      <c r="K104" s="30"/>
      <c r="L104" s="30"/>
      <c r="M104" s="30"/>
      <c r="N104" s="30"/>
      <c r="O104" s="30"/>
      <c r="P104" s="30"/>
      <c r="Q104" s="30"/>
      <c r="R104" s="30"/>
    </row>
    <row r="105" spans="2:18" x14ac:dyDescent="0.3">
      <c r="B105" s="29"/>
      <c r="C105" s="29"/>
      <c r="D105" s="29"/>
      <c r="E105" s="29"/>
      <c r="F105" s="30"/>
      <c r="G105" s="30"/>
      <c r="H105" s="30"/>
      <c r="I105" s="120"/>
      <c r="J105" s="120"/>
      <c r="K105" s="30"/>
      <c r="L105" s="30"/>
      <c r="M105" s="30"/>
      <c r="N105" s="30"/>
      <c r="O105" s="30"/>
      <c r="P105" s="30"/>
      <c r="Q105" s="30"/>
      <c r="R105" s="30"/>
    </row>
    <row r="106" spans="2:18" x14ac:dyDescent="0.3">
      <c r="B106" s="29"/>
      <c r="C106" s="29"/>
      <c r="D106" s="29"/>
      <c r="E106" s="29"/>
      <c r="F106" s="30"/>
      <c r="G106" s="30"/>
      <c r="H106" s="30"/>
      <c r="I106" s="120"/>
      <c r="J106" s="120"/>
      <c r="K106" s="30"/>
      <c r="L106" s="30"/>
      <c r="M106" s="30"/>
      <c r="N106" s="30"/>
      <c r="O106" s="30"/>
      <c r="P106" s="30"/>
      <c r="Q106" s="30"/>
      <c r="R106" s="30"/>
    </row>
    <row r="107" spans="2:18" x14ac:dyDescent="0.3">
      <c r="B107" s="29"/>
      <c r="C107" s="29"/>
      <c r="D107" s="29"/>
      <c r="E107" s="29"/>
      <c r="F107" s="30"/>
      <c r="G107" s="30"/>
      <c r="H107" s="30"/>
      <c r="I107" s="120"/>
      <c r="J107" s="120"/>
      <c r="K107" s="30"/>
      <c r="L107" s="30"/>
      <c r="M107" s="30"/>
      <c r="N107" s="30"/>
      <c r="O107" s="30"/>
      <c r="P107" s="30"/>
      <c r="Q107" s="30"/>
      <c r="R107" s="30"/>
    </row>
    <row r="108" spans="2:18" x14ac:dyDescent="0.3">
      <c r="B108" s="29"/>
      <c r="C108" s="29"/>
      <c r="D108" s="29"/>
      <c r="E108" s="29"/>
      <c r="F108" s="30"/>
      <c r="G108" s="30"/>
      <c r="H108" s="30"/>
      <c r="I108" s="120"/>
      <c r="J108" s="120"/>
      <c r="K108" s="30"/>
      <c r="L108" s="30"/>
      <c r="M108" s="30"/>
      <c r="N108" s="30"/>
      <c r="O108" s="30"/>
      <c r="P108" s="30"/>
      <c r="Q108" s="30"/>
      <c r="R108" s="30"/>
    </row>
    <row r="109" spans="2:18" x14ac:dyDescent="0.3">
      <c r="B109" s="29"/>
      <c r="C109" s="29"/>
      <c r="D109" s="29"/>
      <c r="E109" s="29"/>
      <c r="F109" s="30"/>
      <c r="G109" s="30"/>
      <c r="H109" s="30"/>
      <c r="I109" s="120"/>
      <c r="J109" s="120"/>
      <c r="K109" s="30"/>
      <c r="L109" s="30"/>
      <c r="M109" s="30"/>
      <c r="N109" s="30"/>
      <c r="O109" s="30"/>
      <c r="P109" s="30"/>
      <c r="Q109" s="30"/>
      <c r="R109" s="30"/>
    </row>
    <row r="110" spans="2:18" x14ac:dyDescent="0.3">
      <c r="B110" s="29"/>
      <c r="C110" s="29"/>
      <c r="D110" s="29"/>
      <c r="E110" s="29"/>
      <c r="F110" s="30"/>
      <c r="G110" s="30"/>
      <c r="H110" s="30"/>
      <c r="I110" s="120"/>
      <c r="J110" s="120"/>
      <c r="K110" s="30"/>
      <c r="L110" s="30"/>
      <c r="M110" s="30"/>
      <c r="N110" s="30"/>
      <c r="O110" s="30"/>
      <c r="P110" s="30"/>
      <c r="Q110" s="30"/>
      <c r="R110" s="30"/>
    </row>
    <row r="111" spans="2:18" x14ac:dyDescent="0.3">
      <c r="B111" s="29"/>
      <c r="C111" s="29"/>
      <c r="D111" s="29"/>
      <c r="E111" s="29"/>
      <c r="F111" s="30"/>
      <c r="G111" s="30"/>
      <c r="H111" s="30"/>
      <c r="I111" s="120"/>
      <c r="J111" s="120"/>
      <c r="K111" s="30"/>
      <c r="L111" s="30"/>
      <c r="M111" s="30"/>
      <c r="N111" s="30"/>
      <c r="O111" s="30"/>
      <c r="P111" s="30"/>
      <c r="Q111" s="30"/>
      <c r="R111" s="30"/>
    </row>
    <row r="112" spans="2:18" x14ac:dyDescent="0.3">
      <c r="B112" s="29"/>
      <c r="C112" s="29"/>
      <c r="D112" s="29"/>
      <c r="E112" s="29"/>
      <c r="F112" s="30"/>
      <c r="G112" s="30"/>
      <c r="H112" s="30"/>
      <c r="I112" s="120"/>
      <c r="J112" s="120"/>
      <c r="K112" s="30"/>
      <c r="L112" s="30"/>
      <c r="M112" s="30"/>
      <c r="N112" s="30"/>
      <c r="O112" s="30"/>
      <c r="P112" s="30"/>
      <c r="Q112" s="30"/>
      <c r="R112" s="30"/>
    </row>
    <row r="113" spans="2:18" x14ac:dyDescent="0.3">
      <c r="B113" s="29"/>
      <c r="C113" s="29"/>
      <c r="D113" s="29"/>
      <c r="E113" s="29"/>
      <c r="F113" s="30"/>
      <c r="G113" s="30"/>
      <c r="H113" s="30"/>
      <c r="I113" s="120"/>
      <c r="J113" s="120"/>
      <c r="K113" s="30"/>
      <c r="L113" s="30"/>
      <c r="M113" s="30"/>
      <c r="N113" s="30"/>
      <c r="O113" s="30"/>
      <c r="P113" s="30"/>
      <c r="Q113" s="30"/>
      <c r="R113" s="30"/>
    </row>
    <row r="114" spans="2:18" x14ac:dyDescent="0.3">
      <c r="B114" s="29"/>
      <c r="C114" s="29"/>
      <c r="D114" s="29"/>
      <c r="E114" s="29"/>
      <c r="F114" s="30"/>
      <c r="G114" s="30"/>
      <c r="H114" s="30"/>
      <c r="I114" s="120"/>
      <c r="J114" s="120"/>
      <c r="K114" s="30"/>
      <c r="L114" s="30"/>
      <c r="M114" s="30"/>
      <c r="N114" s="30"/>
      <c r="O114" s="30"/>
      <c r="P114" s="30"/>
      <c r="Q114" s="30"/>
      <c r="R114" s="30"/>
    </row>
    <row r="115" spans="2:18" x14ac:dyDescent="0.3">
      <c r="B115" s="29"/>
      <c r="C115" s="29"/>
      <c r="D115" s="29"/>
      <c r="E115" s="29"/>
      <c r="F115" s="30"/>
      <c r="G115" s="30"/>
      <c r="H115" s="30"/>
      <c r="I115" s="120"/>
      <c r="J115" s="120"/>
      <c r="K115" s="30"/>
      <c r="L115" s="30"/>
      <c r="M115" s="30"/>
      <c r="N115" s="30"/>
      <c r="O115" s="30"/>
      <c r="P115" s="30"/>
      <c r="Q115" s="30"/>
      <c r="R115" s="30"/>
    </row>
    <row r="116" spans="2:18" x14ac:dyDescent="0.3">
      <c r="B116" s="29"/>
      <c r="C116" s="29"/>
      <c r="D116" s="29"/>
      <c r="E116" s="29"/>
      <c r="F116" s="30"/>
      <c r="G116" s="30"/>
      <c r="H116" s="30"/>
      <c r="I116" s="120"/>
      <c r="J116" s="120"/>
      <c r="K116" s="30"/>
      <c r="L116" s="30"/>
      <c r="M116" s="30"/>
      <c r="N116" s="30"/>
      <c r="O116" s="30"/>
      <c r="P116" s="30"/>
      <c r="Q116" s="30"/>
      <c r="R116" s="30"/>
    </row>
    <row r="117" spans="2:18" x14ac:dyDescent="0.3">
      <c r="B117" s="29"/>
      <c r="C117" s="29"/>
      <c r="D117" s="29"/>
      <c r="E117" s="29"/>
      <c r="F117" s="30"/>
      <c r="G117" s="30"/>
      <c r="H117" s="30"/>
      <c r="I117" s="120"/>
      <c r="J117" s="120"/>
      <c r="K117" s="30"/>
      <c r="L117" s="30"/>
      <c r="M117" s="30"/>
      <c r="N117" s="30"/>
      <c r="O117" s="30"/>
      <c r="P117" s="30"/>
      <c r="Q117" s="30"/>
      <c r="R117" s="30"/>
    </row>
    <row r="118" spans="2:18" x14ac:dyDescent="0.3">
      <c r="B118" s="29"/>
      <c r="C118" s="29"/>
      <c r="D118" s="29"/>
      <c r="E118" s="29"/>
      <c r="F118" s="30"/>
      <c r="G118" s="30"/>
      <c r="H118" s="30"/>
      <c r="I118" s="120"/>
      <c r="J118" s="120"/>
      <c r="K118" s="30"/>
      <c r="L118" s="30"/>
      <c r="M118" s="30"/>
      <c r="N118" s="30"/>
      <c r="O118" s="30"/>
      <c r="P118" s="30"/>
      <c r="Q118" s="30"/>
      <c r="R118" s="30"/>
    </row>
    <row r="119" spans="2:18" x14ac:dyDescent="0.3">
      <c r="B119" s="29"/>
      <c r="C119" s="29"/>
      <c r="D119" s="29"/>
      <c r="E119" s="29"/>
      <c r="F119" s="30"/>
      <c r="G119" s="30"/>
      <c r="H119" s="30"/>
      <c r="I119" s="120"/>
      <c r="J119" s="120"/>
      <c r="K119" s="30"/>
      <c r="L119" s="30"/>
      <c r="M119" s="30"/>
      <c r="N119" s="30"/>
      <c r="O119" s="30"/>
      <c r="P119" s="30"/>
      <c r="Q119" s="30"/>
      <c r="R119" s="30"/>
    </row>
    <row r="120" spans="2:18" x14ac:dyDescent="0.3">
      <c r="B120" s="29"/>
      <c r="C120" s="29"/>
      <c r="D120" s="29"/>
      <c r="E120" s="29"/>
      <c r="F120" s="30"/>
      <c r="G120" s="30"/>
      <c r="H120" s="30"/>
      <c r="I120" s="120"/>
      <c r="J120" s="120"/>
      <c r="K120" s="30"/>
      <c r="L120" s="30"/>
      <c r="M120" s="30"/>
      <c r="N120" s="30"/>
      <c r="O120" s="30"/>
      <c r="P120" s="30"/>
      <c r="Q120" s="30"/>
      <c r="R120" s="30"/>
    </row>
    <row r="121" spans="2:18" x14ac:dyDescent="0.3">
      <c r="B121" s="29"/>
      <c r="C121" s="29"/>
      <c r="D121" s="29"/>
      <c r="E121" s="29"/>
      <c r="F121" s="30"/>
      <c r="G121" s="30"/>
      <c r="H121" s="30"/>
      <c r="I121" s="120"/>
      <c r="J121" s="120"/>
      <c r="K121" s="30"/>
      <c r="L121" s="30"/>
      <c r="M121" s="30"/>
      <c r="N121" s="30"/>
      <c r="O121" s="30"/>
      <c r="P121" s="30"/>
      <c r="Q121" s="30"/>
      <c r="R121" s="30"/>
    </row>
    <row r="122" spans="2:18" x14ac:dyDescent="0.3">
      <c r="B122" s="29"/>
      <c r="C122" s="29"/>
      <c r="D122" s="29"/>
      <c r="E122" s="29"/>
      <c r="F122" s="30"/>
      <c r="G122" s="30"/>
      <c r="H122" s="30"/>
      <c r="I122" s="120"/>
      <c r="J122" s="120"/>
      <c r="K122" s="30"/>
      <c r="L122" s="30"/>
      <c r="M122" s="30"/>
      <c r="N122" s="30"/>
      <c r="O122" s="30"/>
      <c r="P122" s="30"/>
      <c r="Q122" s="30"/>
      <c r="R122" s="30"/>
    </row>
    <row r="123" spans="2:18" x14ac:dyDescent="0.3">
      <c r="B123" s="29"/>
      <c r="C123" s="29"/>
      <c r="D123" s="29"/>
      <c r="E123" s="29"/>
      <c r="F123" s="30"/>
      <c r="G123" s="30"/>
      <c r="H123" s="30"/>
      <c r="I123" s="120"/>
      <c r="J123" s="120"/>
      <c r="K123" s="30"/>
      <c r="L123" s="30"/>
      <c r="M123" s="30"/>
      <c r="N123" s="30"/>
      <c r="O123" s="30"/>
      <c r="P123" s="30"/>
      <c r="Q123" s="30"/>
      <c r="R123" s="30"/>
    </row>
    <row r="124" spans="2:18" x14ac:dyDescent="0.3">
      <c r="B124" s="29"/>
      <c r="C124" s="29"/>
      <c r="D124" s="29"/>
      <c r="E124" s="29"/>
      <c r="F124" s="30"/>
      <c r="G124" s="30"/>
      <c r="H124" s="30"/>
      <c r="I124" s="120"/>
      <c r="J124" s="120"/>
      <c r="K124" s="30"/>
      <c r="L124" s="30"/>
      <c r="M124" s="30"/>
      <c r="N124" s="30"/>
      <c r="O124" s="30"/>
      <c r="P124" s="30"/>
      <c r="Q124" s="30"/>
      <c r="R124" s="30"/>
    </row>
    <row r="125" spans="2:18" x14ac:dyDescent="0.3">
      <c r="B125" s="29"/>
      <c r="C125" s="29"/>
      <c r="D125" s="29"/>
      <c r="E125" s="29"/>
      <c r="F125" s="30"/>
      <c r="G125" s="30"/>
      <c r="H125" s="30"/>
      <c r="I125" s="120"/>
      <c r="J125" s="120"/>
      <c r="K125" s="30"/>
      <c r="L125" s="30"/>
      <c r="M125" s="30"/>
      <c r="N125" s="30"/>
      <c r="O125" s="30"/>
      <c r="P125" s="30"/>
      <c r="Q125" s="30"/>
      <c r="R125" s="30"/>
    </row>
    <row r="126" spans="2:18" x14ac:dyDescent="0.3">
      <c r="B126" s="29"/>
      <c r="C126" s="29"/>
      <c r="D126" s="29"/>
      <c r="E126" s="29"/>
      <c r="F126" s="30"/>
      <c r="G126" s="30"/>
      <c r="H126" s="30"/>
      <c r="I126" s="120"/>
      <c r="J126" s="120"/>
      <c r="K126" s="30"/>
      <c r="L126" s="30"/>
      <c r="M126" s="30"/>
      <c r="N126" s="30"/>
      <c r="O126" s="30"/>
      <c r="P126" s="30"/>
      <c r="Q126" s="30"/>
      <c r="R126" s="30"/>
    </row>
    <row r="127" spans="2:18" x14ac:dyDescent="0.3">
      <c r="B127" s="29"/>
      <c r="C127" s="29"/>
      <c r="D127" s="29"/>
      <c r="E127" s="29"/>
      <c r="F127" s="30"/>
      <c r="G127" s="30"/>
      <c r="H127" s="30"/>
      <c r="I127" s="120"/>
      <c r="J127" s="120"/>
      <c r="K127" s="30"/>
      <c r="L127" s="30"/>
      <c r="M127" s="30"/>
      <c r="N127" s="30"/>
      <c r="O127" s="30"/>
      <c r="P127" s="30"/>
      <c r="Q127" s="30"/>
      <c r="R127" s="30"/>
    </row>
    <row r="128" spans="2:18" x14ac:dyDescent="0.3">
      <c r="B128" s="29"/>
      <c r="C128" s="29"/>
      <c r="D128" s="29"/>
      <c r="E128" s="29"/>
      <c r="F128" s="30"/>
      <c r="G128" s="30"/>
      <c r="H128" s="30"/>
      <c r="I128" s="120"/>
      <c r="J128" s="120"/>
      <c r="K128" s="30"/>
      <c r="L128" s="30"/>
      <c r="M128" s="30"/>
      <c r="N128" s="30"/>
      <c r="O128" s="30"/>
      <c r="P128" s="30"/>
      <c r="Q128" s="30"/>
      <c r="R128" s="30"/>
    </row>
    <row r="129" spans="2:18" x14ac:dyDescent="0.3">
      <c r="B129" s="29"/>
      <c r="C129" s="29"/>
      <c r="D129" s="29"/>
      <c r="E129" s="29"/>
      <c r="F129" s="30"/>
      <c r="G129" s="30"/>
      <c r="H129" s="30"/>
      <c r="I129" s="120"/>
      <c r="J129" s="120"/>
      <c r="K129" s="30"/>
      <c r="L129" s="30"/>
      <c r="M129" s="30"/>
      <c r="N129" s="30"/>
      <c r="O129" s="30"/>
      <c r="P129" s="30"/>
      <c r="Q129" s="30"/>
      <c r="R129" s="30"/>
    </row>
    <row r="130" spans="2:18" x14ac:dyDescent="0.3">
      <c r="B130" s="29"/>
      <c r="C130" s="29"/>
      <c r="D130" s="29"/>
      <c r="E130" s="29"/>
      <c r="F130" s="30"/>
      <c r="G130" s="30"/>
      <c r="H130" s="30"/>
      <c r="I130" s="120"/>
      <c r="J130" s="120"/>
      <c r="K130" s="30"/>
      <c r="L130" s="30"/>
      <c r="M130" s="30"/>
      <c r="N130" s="30"/>
      <c r="O130" s="30"/>
      <c r="P130" s="30"/>
      <c r="Q130" s="30"/>
      <c r="R130" s="30"/>
    </row>
    <row r="131" spans="2:18" x14ac:dyDescent="0.3">
      <c r="B131" s="29"/>
      <c r="C131" s="29"/>
      <c r="D131" s="29"/>
      <c r="E131" s="29"/>
      <c r="F131" s="30"/>
      <c r="G131" s="30"/>
      <c r="H131" s="30"/>
      <c r="I131" s="120"/>
      <c r="J131" s="120"/>
      <c r="K131" s="30"/>
      <c r="L131" s="30"/>
      <c r="M131" s="30"/>
      <c r="N131" s="30"/>
      <c r="O131" s="30"/>
      <c r="P131" s="30"/>
      <c r="Q131" s="30"/>
      <c r="R131" s="30"/>
    </row>
    <row r="132" spans="2:18" x14ac:dyDescent="0.3">
      <c r="B132" s="29"/>
      <c r="C132" s="29"/>
      <c r="D132" s="29"/>
      <c r="E132" s="29"/>
      <c r="F132" s="30"/>
      <c r="G132" s="30"/>
      <c r="H132" s="30"/>
      <c r="I132" s="120"/>
      <c r="J132" s="120"/>
      <c r="K132" s="30"/>
      <c r="L132" s="30"/>
      <c r="M132" s="30"/>
      <c r="N132" s="30"/>
      <c r="O132" s="30"/>
      <c r="P132" s="30"/>
      <c r="Q132" s="30"/>
      <c r="R132" s="30"/>
    </row>
    <row r="133" spans="2:18" x14ac:dyDescent="0.3">
      <c r="B133" s="29"/>
      <c r="C133" s="29"/>
      <c r="D133" s="29"/>
      <c r="E133" s="29"/>
      <c r="F133" s="30"/>
      <c r="G133" s="30"/>
      <c r="H133" s="30"/>
      <c r="I133" s="120"/>
      <c r="J133" s="120"/>
      <c r="K133" s="30"/>
      <c r="L133" s="30"/>
      <c r="M133" s="30"/>
      <c r="N133" s="30"/>
      <c r="O133" s="30"/>
      <c r="P133" s="30"/>
      <c r="Q133" s="30"/>
      <c r="R133" s="30"/>
    </row>
    <row r="134" spans="2:18" x14ac:dyDescent="0.3">
      <c r="B134" s="29"/>
      <c r="C134" s="29"/>
      <c r="D134" s="29"/>
      <c r="E134" s="29"/>
      <c r="F134" s="30"/>
      <c r="G134" s="30"/>
      <c r="H134" s="30"/>
      <c r="I134" s="120"/>
      <c r="J134" s="120"/>
      <c r="K134" s="30"/>
      <c r="L134" s="30"/>
      <c r="M134" s="30"/>
      <c r="N134" s="30"/>
      <c r="O134" s="30"/>
      <c r="P134" s="30"/>
      <c r="Q134" s="30"/>
      <c r="R134" s="30"/>
    </row>
    <row r="135" spans="2:18" x14ac:dyDescent="0.3">
      <c r="B135" s="29"/>
      <c r="C135" s="29"/>
      <c r="D135" s="29"/>
      <c r="E135" s="29"/>
      <c r="F135" s="30"/>
      <c r="G135" s="30"/>
      <c r="H135" s="30"/>
      <c r="I135" s="120"/>
      <c r="J135" s="120"/>
      <c r="K135" s="30"/>
      <c r="L135" s="30"/>
      <c r="M135" s="30"/>
      <c r="N135" s="30"/>
      <c r="O135" s="30"/>
      <c r="P135" s="30"/>
      <c r="Q135" s="30"/>
      <c r="R135" s="30"/>
    </row>
    <row r="136" spans="2:18" x14ac:dyDescent="0.3">
      <c r="B136" s="29"/>
      <c r="C136" s="29"/>
      <c r="D136" s="29"/>
      <c r="E136" s="29"/>
      <c r="F136" s="30"/>
      <c r="G136" s="30"/>
      <c r="H136" s="30"/>
      <c r="I136" s="120"/>
      <c r="J136" s="120"/>
      <c r="K136" s="30"/>
      <c r="L136" s="30"/>
      <c r="M136" s="30"/>
      <c r="N136" s="30"/>
      <c r="O136" s="30"/>
      <c r="P136" s="30"/>
      <c r="Q136" s="30"/>
      <c r="R136" s="30"/>
    </row>
    <row r="137" spans="2:18" x14ac:dyDescent="0.3">
      <c r="B137" s="29"/>
      <c r="C137" s="29"/>
      <c r="D137" s="29"/>
      <c r="E137" s="29"/>
      <c r="F137" s="30"/>
      <c r="G137" s="30"/>
      <c r="H137" s="30"/>
      <c r="I137" s="120"/>
      <c r="J137" s="120"/>
      <c r="K137" s="30"/>
      <c r="L137" s="30"/>
      <c r="M137" s="30"/>
      <c r="N137" s="30"/>
      <c r="O137" s="30"/>
      <c r="P137" s="30"/>
      <c r="Q137" s="30"/>
      <c r="R137" s="30"/>
    </row>
    <row r="138" spans="2:18" x14ac:dyDescent="0.3">
      <c r="B138" s="29"/>
      <c r="C138" s="29"/>
      <c r="D138" s="29"/>
      <c r="E138" s="29"/>
      <c r="F138" s="30"/>
      <c r="G138" s="30"/>
      <c r="H138" s="30"/>
      <c r="I138" s="120"/>
      <c r="J138" s="120"/>
      <c r="K138" s="30"/>
      <c r="L138" s="30"/>
      <c r="M138" s="30"/>
      <c r="N138" s="30"/>
      <c r="O138" s="30"/>
      <c r="P138" s="30"/>
      <c r="Q138" s="30"/>
      <c r="R138" s="30"/>
    </row>
    <row r="139" spans="2:18" x14ac:dyDescent="0.3">
      <c r="B139" s="29"/>
      <c r="C139" s="29"/>
      <c r="D139" s="29"/>
      <c r="E139" s="29"/>
      <c r="F139" s="30"/>
      <c r="G139" s="30"/>
      <c r="H139" s="30"/>
      <c r="I139" s="120"/>
      <c r="J139" s="120"/>
      <c r="K139" s="30"/>
      <c r="L139" s="30"/>
      <c r="M139" s="30"/>
      <c r="N139" s="30"/>
      <c r="O139" s="30"/>
      <c r="P139" s="30"/>
      <c r="Q139" s="30"/>
      <c r="R139" s="30"/>
    </row>
    <row r="140" spans="2:18" x14ac:dyDescent="0.3">
      <c r="B140" s="29"/>
      <c r="C140" s="29"/>
      <c r="D140" s="29"/>
      <c r="E140" s="29"/>
      <c r="F140" s="30"/>
      <c r="G140" s="30"/>
      <c r="H140" s="30"/>
      <c r="I140" s="120"/>
      <c r="J140" s="120"/>
      <c r="K140" s="30"/>
      <c r="L140" s="30"/>
      <c r="M140" s="30"/>
      <c r="N140" s="30"/>
      <c r="O140" s="30"/>
      <c r="P140" s="30"/>
      <c r="Q140" s="30"/>
      <c r="R140" s="30"/>
    </row>
    <row r="141" spans="2:18" x14ac:dyDescent="0.3">
      <c r="B141" s="29"/>
      <c r="C141" s="29"/>
      <c r="D141" s="29"/>
      <c r="E141" s="29"/>
      <c r="F141" s="30"/>
      <c r="G141" s="30"/>
      <c r="H141" s="30"/>
      <c r="I141" s="120"/>
      <c r="J141" s="120"/>
      <c r="K141" s="30"/>
      <c r="L141" s="30"/>
      <c r="M141" s="30"/>
      <c r="N141" s="30"/>
      <c r="O141" s="30"/>
      <c r="P141" s="30"/>
      <c r="Q141" s="30"/>
      <c r="R141" s="30"/>
    </row>
    <row r="142" spans="2:18" x14ac:dyDescent="0.3">
      <c r="B142" s="29"/>
      <c r="C142" s="29"/>
      <c r="D142" s="29"/>
      <c r="E142" s="29"/>
      <c r="F142" s="30"/>
      <c r="G142" s="30"/>
      <c r="H142" s="30"/>
      <c r="I142" s="120"/>
      <c r="J142" s="120"/>
      <c r="K142" s="30"/>
      <c r="L142" s="30"/>
      <c r="M142" s="30"/>
      <c r="N142" s="30"/>
      <c r="O142" s="30"/>
      <c r="P142" s="30"/>
      <c r="Q142" s="30"/>
      <c r="R142" s="30"/>
    </row>
    <row r="143" spans="2:18" x14ac:dyDescent="0.3">
      <c r="B143" s="29"/>
      <c r="C143" s="29"/>
      <c r="D143" s="29"/>
      <c r="E143" s="29"/>
      <c r="F143" s="30"/>
      <c r="G143" s="30"/>
      <c r="H143" s="30"/>
      <c r="I143" s="120"/>
      <c r="J143" s="120"/>
      <c r="K143" s="30"/>
      <c r="L143" s="30"/>
      <c r="M143" s="30"/>
      <c r="N143" s="30"/>
      <c r="O143" s="30"/>
      <c r="P143" s="30"/>
      <c r="Q143" s="30"/>
      <c r="R143" s="30"/>
    </row>
    <row r="144" spans="2:18" x14ac:dyDescent="0.3">
      <c r="B144" s="29"/>
      <c r="C144" s="29"/>
      <c r="D144" s="29"/>
      <c r="E144" s="29"/>
      <c r="F144" s="30"/>
      <c r="G144" s="30"/>
      <c r="H144" s="30"/>
      <c r="I144" s="120"/>
      <c r="J144" s="120"/>
      <c r="K144" s="30"/>
      <c r="L144" s="30"/>
      <c r="M144" s="30"/>
      <c r="N144" s="30"/>
      <c r="O144" s="30"/>
      <c r="P144" s="30"/>
      <c r="Q144" s="30"/>
      <c r="R144" s="30"/>
    </row>
    <row r="145" spans="2:18" x14ac:dyDescent="0.3">
      <c r="B145" s="29"/>
      <c r="C145" s="29"/>
      <c r="D145" s="29"/>
      <c r="E145" s="29"/>
      <c r="F145" s="30"/>
      <c r="G145" s="30"/>
      <c r="H145" s="30"/>
      <c r="I145" s="120"/>
      <c r="J145" s="120"/>
      <c r="K145" s="30"/>
      <c r="L145" s="30"/>
      <c r="M145" s="30"/>
      <c r="N145" s="30"/>
      <c r="O145" s="30"/>
      <c r="P145" s="30"/>
      <c r="Q145" s="30"/>
      <c r="R145" s="30"/>
    </row>
    <row r="146" spans="2:18" x14ac:dyDescent="0.3">
      <c r="B146" s="29"/>
      <c r="C146" s="29"/>
      <c r="D146" s="29"/>
      <c r="E146" s="29"/>
      <c r="F146" s="30"/>
      <c r="G146" s="30"/>
      <c r="H146" s="30"/>
      <c r="I146" s="120"/>
      <c r="J146" s="120"/>
      <c r="K146" s="30"/>
      <c r="L146" s="30"/>
      <c r="M146" s="30"/>
      <c r="N146" s="30"/>
      <c r="O146" s="30"/>
      <c r="P146" s="30"/>
      <c r="Q146" s="30"/>
      <c r="R146" s="30"/>
    </row>
    <row r="147" spans="2:18" x14ac:dyDescent="0.3">
      <c r="B147" s="29"/>
      <c r="C147" s="29"/>
      <c r="D147" s="29"/>
      <c r="E147" s="29"/>
      <c r="F147" s="30"/>
      <c r="G147" s="30"/>
      <c r="H147" s="30"/>
      <c r="I147" s="120"/>
      <c r="J147" s="120"/>
      <c r="K147" s="30"/>
      <c r="L147" s="30"/>
      <c r="M147" s="30"/>
      <c r="N147" s="30"/>
      <c r="O147" s="30"/>
      <c r="P147" s="30"/>
      <c r="Q147" s="30"/>
      <c r="R147" s="30"/>
    </row>
    <row r="148" spans="2:18" x14ac:dyDescent="0.3">
      <c r="B148" s="29"/>
      <c r="C148" s="29"/>
      <c r="D148" s="29"/>
      <c r="E148" s="29"/>
      <c r="F148" s="30"/>
      <c r="G148" s="30"/>
      <c r="H148" s="30"/>
      <c r="I148" s="120"/>
      <c r="J148" s="120"/>
      <c r="K148" s="30"/>
      <c r="L148" s="30"/>
      <c r="M148" s="30"/>
      <c r="N148" s="30"/>
      <c r="O148" s="30"/>
      <c r="P148" s="30"/>
      <c r="Q148" s="30"/>
      <c r="R148" s="30"/>
    </row>
    <row r="149" spans="2:18" x14ac:dyDescent="0.3">
      <c r="B149" s="29"/>
      <c r="C149" s="29"/>
      <c r="D149" s="29"/>
      <c r="E149" s="29"/>
      <c r="F149" s="30"/>
      <c r="G149" s="30"/>
      <c r="H149" s="30"/>
      <c r="I149" s="120"/>
      <c r="J149" s="120"/>
      <c r="K149" s="30"/>
      <c r="L149" s="30"/>
      <c r="M149" s="30"/>
      <c r="N149" s="30"/>
      <c r="O149" s="30"/>
      <c r="P149" s="30"/>
      <c r="Q149" s="30"/>
      <c r="R149" s="30"/>
    </row>
    <row r="150" spans="2:18" x14ac:dyDescent="0.3">
      <c r="B150" s="29"/>
      <c r="C150" s="29"/>
      <c r="D150" s="29"/>
      <c r="E150" s="29"/>
      <c r="F150" s="30"/>
      <c r="G150" s="30"/>
      <c r="H150" s="30"/>
      <c r="I150" s="120"/>
      <c r="J150" s="120"/>
      <c r="K150" s="30"/>
      <c r="L150" s="30"/>
      <c r="M150" s="30"/>
      <c r="N150" s="30"/>
      <c r="O150" s="30"/>
      <c r="P150" s="30"/>
      <c r="Q150" s="30"/>
      <c r="R150" s="30"/>
    </row>
    <row r="151" spans="2:18" x14ac:dyDescent="0.3">
      <c r="B151" s="29"/>
      <c r="C151" s="29"/>
      <c r="D151" s="29"/>
      <c r="E151" s="29"/>
      <c r="F151" s="30"/>
      <c r="G151" s="30"/>
      <c r="H151" s="30"/>
      <c r="I151" s="120"/>
      <c r="J151" s="120"/>
      <c r="K151" s="30"/>
      <c r="L151" s="30"/>
      <c r="M151" s="30"/>
      <c r="N151" s="30"/>
      <c r="O151" s="30"/>
      <c r="P151" s="30"/>
      <c r="Q151" s="30"/>
      <c r="R151" s="30"/>
    </row>
    <row r="152" spans="2:18" x14ac:dyDescent="0.3">
      <c r="B152" s="29"/>
      <c r="C152" s="29"/>
      <c r="D152" s="29"/>
      <c r="E152" s="29"/>
      <c r="F152" s="30"/>
      <c r="G152" s="30"/>
      <c r="H152" s="30"/>
      <c r="I152" s="120"/>
      <c r="J152" s="120"/>
      <c r="K152" s="30"/>
      <c r="L152" s="30"/>
      <c r="M152" s="30"/>
      <c r="N152" s="30"/>
      <c r="O152" s="30"/>
      <c r="P152" s="30"/>
      <c r="Q152" s="30"/>
      <c r="R152" s="30"/>
    </row>
    <row r="153" spans="2:18" x14ac:dyDescent="0.3">
      <c r="B153" s="29"/>
      <c r="C153" s="29"/>
      <c r="D153" s="29"/>
      <c r="E153" s="29"/>
      <c r="F153" s="30"/>
      <c r="G153" s="30"/>
      <c r="H153" s="30"/>
      <c r="I153" s="120"/>
      <c r="J153" s="120"/>
      <c r="K153" s="30"/>
      <c r="L153" s="30"/>
      <c r="M153" s="30"/>
      <c r="N153" s="30"/>
      <c r="O153" s="30"/>
      <c r="P153" s="30"/>
      <c r="Q153" s="30"/>
      <c r="R153" s="30"/>
    </row>
    <row r="154" spans="2:18" x14ac:dyDescent="0.3">
      <c r="B154" s="29"/>
      <c r="C154" s="29"/>
      <c r="D154" s="29"/>
      <c r="E154" s="29"/>
      <c r="F154" s="30"/>
      <c r="G154" s="30"/>
      <c r="H154" s="30"/>
      <c r="I154" s="120"/>
      <c r="J154" s="120"/>
      <c r="K154" s="30"/>
      <c r="L154" s="30"/>
      <c r="M154" s="30"/>
      <c r="N154" s="30"/>
      <c r="O154" s="30"/>
      <c r="P154" s="30"/>
      <c r="Q154" s="30"/>
      <c r="R154" s="30"/>
    </row>
    <row r="155" spans="2:18" x14ac:dyDescent="0.3">
      <c r="B155" s="29"/>
      <c r="C155" s="29"/>
      <c r="D155" s="29"/>
      <c r="E155" s="29"/>
      <c r="F155" s="30"/>
      <c r="G155" s="30"/>
      <c r="H155" s="30"/>
      <c r="I155" s="120"/>
      <c r="J155" s="120"/>
      <c r="K155" s="30"/>
      <c r="L155" s="30"/>
      <c r="M155" s="30"/>
      <c r="N155" s="30"/>
      <c r="O155" s="30"/>
      <c r="P155" s="30"/>
      <c r="Q155" s="30"/>
      <c r="R155" s="30"/>
    </row>
    <row r="156" spans="2:18" x14ac:dyDescent="0.3">
      <c r="B156" s="29"/>
      <c r="C156" s="29"/>
      <c r="D156" s="29"/>
      <c r="E156" s="29"/>
      <c r="F156" s="30"/>
      <c r="G156" s="30"/>
      <c r="H156" s="30"/>
      <c r="I156" s="120"/>
      <c r="J156" s="120"/>
      <c r="K156" s="30"/>
      <c r="L156" s="30"/>
      <c r="M156" s="30"/>
      <c r="N156" s="30"/>
      <c r="O156" s="30"/>
      <c r="P156" s="30"/>
      <c r="Q156" s="30"/>
      <c r="R156" s="30"/>
    </row>
    <row r="157" spans="2:18" x14ac:dyDescent="0.3">
      <c r="B157" s="29"/>
      <c r="C157" s="29"/>
      <c r="D157" s="29"/>
      <c r="E157" s="29"/>
      <c r="F157" s="30"/>
      <c r="G157" s="30"/>
      <c r="H157" s="30"/>
      <c r="I157" s="120"/>
      <c r="J157" s="120"/>
      <c r="K157" s="30"/>
      <c r="L157" s="30"/>
      <c r="M157" s="30"/>
      <c r="N157" s="30"/>
      <c r="O157" s="30"/>
      <c r="P157" s="30"/>
      <c r="Q157" s="30"/>
      <c r="R157" s="30"/>
    </row>
    <row r="158" spans="2:18" x14ac:dyDescent="0.3">
      <c r="B158" s="29"/>
      <c r="C158" s="29"/>
      <c r="D158" s="29"/>
      <c r="E158" s="29"/>
      <c r="F158" s="30"/>
      <c r="G158" s="30"/>
      <c r="H158" s="30"/>
      <c r="I158" s="120"/>
      <c r="J158" s="120"/>
      <c r="K158" s="30"/>
      <c r="L158" s="30"/>
      <c r="M158" s="30"/>
      <c r="N158" s="30"/>
      <c r="O158" s="30"/>
      <c r="P158" s="30"/>
      <c r="Q158" s="30"/>
      <c r="R158" s="30"/>
    </row>
    <row r="159" spans="2:18" x14ac:dyDescent="0.3">
      <c r="B159" s="29"/>
      <c r="C159" s="29"/>
      <c r="D159" s="29"/>
      <c r="E159" s="29"/>
      <c r="F159" s="30"/>
      <c r="G159" s="30"/>
      <c r="H159" s="30"/>
      <c r="I159" s="120"/>
      <c r="J159" s="120"/>
      <c r="K159" s="30"/>
      <c r="L159" s="30"/>
      <c r="M159" s="30"/>
      <c r="N159" s="30"/>
      <c r="O159" s="30"/>
      <c r="P159" s="30"/>
      <c r="Q159" s="30"/>
      <c r="R159" s="30"/>
    </row>
    <row r="160" spans="2:18" x14ac:dyDescent="0.3">
      <c r="B160" s="29"/>
      <c r="C160" s="29"/>
      <c r="D160" s="29"/>
      <c r="E160" s="29"/>
      <c r="F160" s="30"/>
      <c r="G160" s="30"/>
      <c r="H160" s="30"/>
      <c r="I160" s="120"/>
      <c r="J160" s="120"/>
      <c r="K160" s="30"/>
      <c r="L160" s="30"/>
      <c r="M160" s="30"/>
      <c r="N160" s="30"/>
      <c r="O160" s="30"/>
      <c r="P160" s="30"/>
      <c r="Q160" s="30"/>
      <c r="R160" s="30"/>
    </row>
    <row r="161" spans="2:18" x14ac:dyDescent="0.3">
      <c r="B161" s="29"/>
      <c r="C161" s="29"/>
      <c r="D161" s="29"/>
      <c r="E161" s="29"/>
      <c r="F161" s="30"/>
      <c r="G161" s="30"/>
      <c r="H161" s="30"/>
      <c r="I161" s="120"/>
      <c r="J161" s="120"/>
      <c r="K161" s="30"/>
      <c r="L161" s="30"/>
      <c r="M161" s="30"/>
      <c r="N161" s="30"/>
      <c r="O161" s="30"/>
      <c r="P161" s="30"/>
      <c r="Q161" s="30"/>
      <c r="R161" s="30"/>
    </row>
    <row r="162" spans="2:18" x14ac:dyDescent="0.3">
      <c r="B162" s="29"/>
      <c r="C162" s="29"/>
      <c r="D162" s="29"/>
      <c r="E162" s="29"/>
      <c r="F162" s="30"/>
      <c r="G162" s="30"/>
      <c r="H162" s="30"/>
      <c r="I162" s="120"/>
      <c r="J162" s="120"/>
      <c r="K162" s="30"/>
      <c r="L162" s="30"/>
      <c r="M162" s="30"/>
      <c r="N162" s="30"/>
      <c r="O162" s="30"/>
      <c r="P162" s="30"/>
      <c r="Q162" s="30"/>
      <c r="R162" s="30"/>
    </row>
    <row r="163" spans="2:18" x14ac:dyDescent="0.3">
      <c r="B163" s="29"/>
      <c r="C163" s="29"/>
      <c r="D163" s="29"/>
      <c r="E163" s="29"/>
      <c r="F163" s="30"/>
      <c r="G163" s="30"/>
      <c r="H163" s="30"/>
      <c r="I163" s="120"/>
      <c r="J163" s="120"/>
      <c r="K163" s="30"/>
      <c r="L163" s="30"/>
      <c r="M163" s="30"/>
      <c r="N163" s="30"/>
      <c r="O163" s="30"/>
      <c r="P163" s="30"/>
      <c r="Q163" s="30"/>
      <c r="R163" s="30"/>
    </row>
    <row r="164" spans="2:18" x14ac:dyDescent="0.3">
      <c r="B164" s="29"/>
      <c r="C164" s="29"/>
      <c r="D164" s="29"/>
      <c r="E164" s="29"/>
      <c r="F164" s="30"/>
      <c r="G164" s="30"/>
      <c r="H164" s="30"/>
      <c r="I164" s="120"/>
      <c r="J164" s="120"/>
      <c r="K164" s="30"/>
      <c r="L164" s="30"/>
      <c r="M164" s="30"/>
      <c r="N164" s="30"/>
      <c r="O164" s="30"/>
      <c r="P164" s="30"/>
      <c r="Q164" s="30"/>
      <c r="R164" s="30"/>
    </row>
    <row r="165" spans="2:18" x14ac:dyDescent="0.3">
      <c r="B165" s="29"/>
      <c r="C165" s="29"/>
      <c r="D165" s="29"/>
      <c r="E165" s="29"/>
      <c r="F165" s="30"/>
      <c r="G165" s="30"/>
      <c r="H165" s="30"/>
      <c r="I165" s="120"/>
      <c r="J165" s="120"/>
      <c r="K165" s="30"/>
      <c r="L165" s="30"/>
      <c r="M165" s="30"/>
      <c r="N165" s="30"/>
      <c r="O165" s="30"/>
      <c r="P165" s="30"/>
      <c r="Q165" s="30"/>
      <c r="R165" s="30"/>
    </row>
    <row r="166" spans="2:18" x14ac:dyDescent="0.3">
      <c r="B166" s="29"/>
      <c r="C166" s="29"/>
      <c r="D166" s="29"/>
      <c r="E166" s="29"/>
      <c r="F166" s="30"/>
      <c r="G166" s="30"/>
      <c r="H166" s="30"/>
      <c r="I166" s="120"/>
      <c r="J166" s="120"/>
      <c r="K166" s="30"/>
      <c r="L166" s="30"/>
      <c r="M166" s="30"/>
      <c r="N166" s="30"/>
      <c r="O166" s="30"/>
      <c r="P166" s="30"/>
      <c r="Q166" s="30"/>
      <c r="R166" s="30"/>
    </row>
    <row r="167" spans="2:18" x14ac:dyDescent="0.3">
      <c r="B167" s="29"/>
      <c r="C167" s="29"/>
      <c r="D167" s="29"/>
      <c r="E167" s="29"/>
      <c r="F167" s="30"/>
      <c r="G167" s="30"/>
      <c r="H167" s="30"/>
      <c r="I167" s="120"/>
      <c r="J167" s="120"/>
      <c r="K167" s="30"/>
      <c r="L167" s="30"/>
      <c r="M167" s="30"/>
      <c r="N167" s="30"/>
      <c r="O167" s="30"/>
      <c r="P167" s="30"/>
      <c r="Q167" s="30"/>
      <c r="R167" s="30"/>
    </row>
    <row r="168" spans="2:18" x14ac:dyDescent="0.3">
      <c r="B168" s="29"/>
      <c r="C168" s="29"/>
      <c r="D168" s="29"/>
      <c r="E168" s="29"/>
      <c r="F168" s="30"/>
      <c r="G168" s="30"/>
      <c r="H168" s="30"/>
      <c r="I168" s="120"/>
      <c r="J168" s="120"/>
      <c r="K168" s="30"/>
      <c r="L168" s="30"/>
      <c r="M168" s="30"/>
      <c r="N168" s="30"/>
      <c r="O168" s="30"/>
      <c r="P168" s="30"/>
      <c r="Q168" s="30"/>
      <c r="R168" s="30"/>
    </row>
    <row r="169" spans="2:18" x14ac:dyDescent="0.3">
      <c r="B169" s="29"/>
      <c r="C169" s="29"/>
      <c r="D169" s="29"/>
      <c r="E169" s="29"/>
      <c r="F169" s="30"/>
      <c r="G169" s="30"/>
      <c r="H169" s="30"/>
      <c r="I169" s="120"/>
      <c r="J169" s="120"/>
      <c r="K169" s="30"/>
      <c r="L169" s="30"/>
      <c r="M169" s="30"/>
      <c r="N169" s="30"/>
      <c r="O169" s="30"/>
      <c r="P169" s="30"/>
      <c r="Q169" s="30"/>
      <c r="R169" s="30"/>
    </row>
    <row r="170" spans="2:18" x14ac:dyDescent="0.3">
      <c r="B170" s="29"/>
      <c r="C170" s="29"/>
      <c r="D170" s="29"/>
      <c r="E170" s="29"/>
      <c r="F170" s="30"/>
      <c r="G170" s="30"/>
      <c r="H170" s="30"/>
      <c r="I170" s="120"/>
      <c r="J170" s="120"/>
      <c r="K170" s="30"/>
      <c r="L170" s="30"/>
      <c r="M170" s="30"/>
      <c r="N170" s="30"/>
      <c r="O170" s="30"/>
      <c r="P170" s="30"/>
      <c r="Q170" s="30"/>
      <c r="R170" s="30"/>
    </row>
    <row r="171" spans="2:18" x14ac:dyDescent="0.3">
      <c r="B171" s="29"/>
      <c r="C171" s="29"/>
      <c r="D171" s="29"/>
      <c r="E171" s="29"/>
      <c r="F171" s="30"/>
      <c r="G171" s="30"/>
      <c r="H171" s="30"/>
      <c r="I171" s="120"/>
      <c r="J171" s="120"/>
      <c r="K171" s="30"/>
      <c r="L171" s="30"/>
      <c r="M171" s="30"/>
      <c r="N171" s="30"/>
      <c r="O171" s="30"/>
      <c r="P171" s="30"/>
      <c r="Q171" s="30"/>
      <c r="R171" s="30"/>
    </row>
    <row r="172" spans="2:18" x14ac:dyDescent="0.3">
      <c r="B172" s="29"/>
      <c r="C172" s="29"/>
      <c r="D172" s="29"/>
      <c r="E172" s="29"/>
      <c r="F172" s="30"/>
      <c r="G172" s="30"/>
      <c r="H172" s="30"/>
      <c r="I172" s="120"/>
      <c r="J172" s="120"/>
      <c r="K172" s="30"/>
      <c r="L172" s="30"/>
      <c r="M172" s="30"/>
      <c r="N172" s="30"/>
      <c r="O172" s="30"/>
      <c r="P172" s="30"/>
      <c r="Q172" s="30"/>
      <c r="R172" s="30"/>
    </row>
    <row r="173" spans="2:18" x14ac:dyDescent="0.3">
      <c r="B173" s="29"/>
      <c r="C173" s="29"/>
      <c r="D173" s="29"/>
      <c r="E173" s="29"/>
      <c r="F173" s="30"/>
      <c r="G173" s="30"/>
      <c r="H173" s="30"/>
      <c r="I173" s="120"/>
      <c r="J173" s="120"/>
      <c r="K173" s="30"/>
      <c r="L173" s="30"/>
      <c r="M173" s="30"/>
      <c r="N173" s="30"/>
      <c r="O173" s="30"/>
      <c r="P173" s="30"/>
      <c r="Q173" s="30"/>
      <c r="R173" s="30"/>
    </row>
    <row r="174" spans="2:18" x14ac:dyDescent="0.3">
      <c r="B174" s="29"/>
      <c r="C174" s="29"/>
      <c r="D174" s="29"/>
      <c r="E174" s="29"/>
      <c r="F174" s="30"/>
      <c r="G174" s="30"/>
      <c r="H174" s="30"/>
      <c r="I174" s="120"/>
      <c r="J174" s="120"/>
      <c r="K174" s="30"/>
      <c r="L174" s="30"/>
      <c r="M174" s="30"/>
      <c r="N174" s="30"/>
      <c r="O174" s="30"/>
      <c r="P174" s="30"/>
      <c r="Q174" s="30"/>
      <c r="R174" s="30"/>
    </row>
    <row r="175" spans="2:18" x14ac:dyDescent="0.3">
      <c r="B175" s="29"/>
      <c r="C175" s="29"/>
      <c r="D175" s="29"/>
      <c r="E175" s="29"/>
      <c r="F175" s="30"/>
      <c r="G175" s="30"/>
      <c r="H175" s="30"/>
      <c r="I175" s="120"/>
      <c r="J175" s="120"/>
      <c r="K175" s="30"/>
      <c r="L175" s="30"/>
      <c r="M175" s="30"/>
      <c r="N175" s="30"/>
      <c r="O175" s="30"/>
      <c r="P175" s="30"/>
      <c r="Q175" s="30"/>
      <c r="R175" s="30"/>
    </row>
    <row r="176" spans="2:18" x14ac:dyDescent="0.3">
      <c r="B176" s="29"/>
      <c r="C176" s="29"/>
      <c r="D176" s="29"/>
      <c r="E176" s="29"/>
      <c r="F176" s="30"/>
      <c r="G176" s="30"/>
      <c r="H176" s="30"/>
      <c r="I176" s="120"/>
      <c r="J176" s="120"/>
      <c r="K176" s="30"/>
      <c r="L176" s="30"/>
      <c r="M176" s="30"/>
      <c r="N176" s="30"/>
      <c r="O176" s="30"/>
      <c r="P176" s="30"/>
      <c r="Q176" s="30"/>
      <c r="R176" s="30"/>
    </row>
    <row r="177" spans="2:18" x14ac:dyDescent="0.3">
      <c r="B177" s="29"/>
      <c r="C177" s="29"/>
      <c r="D177" s="29"/>
      <c r="E177" s="29"/>
      <c r="F177" s="30"/>
      <c r="G177" s="30"/>
      <c r="H177" s="30"/>
      <c r="I177" s="120"/>
      <c r="J177" s="120"/>
      <c r="K177" s="30"/>
      <c r="L177" s="30"/>
      <c r="M177" s="30"/>
      <c r="N177" s="30"/>
      <c r="O177" s="30"/>
      <c r="P177" s="30"/>
      <c r="Q177" s="30"/>
      <c r="R177" s="30"/>
    </row>
    <row r="178" spans="2:18" x14ac:dyDescent="0.3">
      <c r="B178" s="29"/>
      <c r="C178" s="29"/>
      <c r="D178" s="29"/>
      <c r="E178" s="29"/>
      <c r="F178" s="30"/>
      <c r="G178" s="30"/>
      <c r="H178" s="30"/>
      <c r="I178" s="120"/>
      <c r="J178" s="120"/>
      <c r="K178" s="30"/>
      <c r="L178" s="30"/>
      <c r="M178" s="30"/>
      <c r="N178" s="30"/>
      <c r="O178" s="30"/>
      <c r="P178" s="30"/>
      <c r="Q178" s="30"/>
      <c r="R178" s="30"/>
    </row>
    <row r="179" spans="2:18" x14ac:dyDescent="0.3">
      <c r="B179" s="29"/>
      <c r="C179" s="29"/>
      <c r="D179" s="29"/>
      <c r="E179" s="29"/>
      <c r="F179" s="30"/>
      <c r="G179" s="30"/>
      <c r="H179" s="30"/>
      <c r="I179" s="120"/>
      <c r="J179" s="120"/>
      <c r="K179" s="30"/>
      <c r="L179" s="30"/>
      <c r="M179" s="30"/>
      <c r="N179" s="30"/>
      <c r="O179" s="30"/>
      <c r="P179" s="30"/>
      <c r="Q179" s="30"/>
      <c r="R179" s="30"/>
    </row>
    <row r="180" spans="2:18" x14ac:dyDescent="0.3">
      <c r="B180" s="29"/>
      <c r="C180" s="29"/>
      <c r="D180" s="29"/>
      <c r="E180" s="29"/>
      <c r="F180" s="30"/>
      <c r="G180" s="30"/>
      <c r="H180" s="30"/>
      <c r="I180" s="120"/>
      <c r="J180" s="120"/>
      <c r="K180" s="30"/>
      <c r="L180" s="30"/>
      <c r="M180" s="30"/>
      <c r="N180" s="30"/>
      <c r="O180" s="30"/>
      <c r="P180" s="30"/>
      <c r="Q180" s="30"/>
      <c r="R180" s="30"/>
    </row>
    <row r="181" spans="2:18" x14ac:dyDescent="0.3">
      <c r="B181" s="29"/>
      <c r="C181" s="29"/>
      <c r="D181" s="29"/>
      <c r="E181" s="29"/>
      <c r="F181" s="30"/>
      <c r="G181" s="30"/>
      <c r="H181" s="30"/>
      <c r="I181" s="120"/>
      <c r="J181" s="120"/>
      <c r="K181" s="30"/>
      <c r="L181" s="30"/>
      <c r="M181" s="30"/>
      <c r="N181" s="30"/>
      <c r="O181" s="30"/>
      <c r="P181" s="30"/>
      <c r="Q181" s="30"/>
      <c r="R181" s="30"/>
    </row>
    <row r="182" spans="2:18" x14ac:dyDescent="0.3">
      <c r="B182" s="29"/>
      <c r="C182" s="29"/>
      <c r="D182" s="29"/>
      <c r="E182" s="29"/>
      <c r="F182" s="30"/>
      <c r="G182" s="30"/>
      <c r="H182" s="30"/>
      <c r="I182" s="120"/>
      <c r="J182" s="120"/>
      <c r="K182" s="30"/>
      <c r="L182" s="30"/>
      <c r="M182" s="30"/>
      <c r="N182" s="30"/>
      <c r="O182" s="30"/>
      <c r="P182" s="30"/>
      <c r="Q182" s="30"/>
      <c r="R182" s="30"/>
    </row>
    <row r="183" spans="2:18" x14ac:dyDescent="0.3">
      <c r="B183" s="29"/>
      <c r="C183" s="29"/>
      <c r="D183" s="29"/>
      <c r="E183" s="29"/>
      <c r="F183" s="30"/>
      <c r="G183" s="30"/>
      <c r="H183" s="30"/>
      <c r="I183" s="120"/>
      <c r="J183" s="120"/>
      <c r="K183" s="30"/>
      <c r="L183" s="30"/>
      <c r="M183" s="30"/>
      <c r="N183" s="30"/>
      <c r="O183" s="30"/>
      <c r="P183" s="30"/>
      <c r="Q183" s="30"/>
      <c r="R183" s="30"/>
    </row>
    <row r="184" spans="2:18" x14ac:dyDescent="0.3">
      <c r="B184" s="29"/>
      <c r="C184" s="29"/>
      <c r="D184" s="29"/>
      <c r="E184" s="29"/>
      <c r="F184" s="30"/>
      <c r="G184" s="30"/>
      <c r="H184" s="30"/>
      <c r="I184" s="120"/>
      <c r="J184" s="120"/>
      <c r="K184" s="30"/>
      <c r="L184" s="30"/>
      <c r="M184" s="30"/>
      <c r="N184" s="30"/>
      <c r="O184" s="30"/>
      <c r="P184" s="30"/>
      <c r="Q184" s="30"/>
      <c r="R184" s="30"/>
    </row>
    <row r="185" spans="2:18" x14ac:dyDescent="0.3">
      <c r="B185" s="29"/>
      <c r="C185" s="29"/>
      <c r="D185" s="29"/>
      <c r="E185" s="29"/>
      <c r="F185" s="30"/>
      <c r="G185" s="30"/>
      <c r="H185" s="30"/>
      <c r="I185" s="120"/>
      <c r="J185" s="120"/>
      <c r="K185" s="30"/>
      <c r="L185" s="30"/>
      <c r="M185" s="30"/>
      <c r="N185" s="30"/>
      <c r="O185" s="30"/>
      <c r="P185" s="30"/>
      <c r="Q185" s="30"/>
      <c r="R185" s="30"/>
    </row>
    <row r="186" spans="2:18" x14ac:dyDescent="0.3">
      <c r="B186" s="29"/>
      <c r="C186" s="29"/>
      <c r="D186" s="29"/>
      <c r="E186" s="29"/>
      <c r="F186" s="30"/>
      <c r="G186" s="30"/>
      <c r="H186" s="30"/>
      <c r="I186" s="120"/>
      <c r="J186" s="120"/>
      <c r="K186" s="30"/>
      <c r="L186" s="30"/>
      <c r="M186" s="30"/>
      <c r="N186" s="30"/>
      <c r="O186" s="30"/>
      <c r="P186" s="30"/>
      <c r="Q186" s="30"/>
      <c r="R186" s="30"/>
    </row>
    <row r="187" spans="2:18" x14ac:dyDescent="0.3">
      <c r="B187" s="29"/>
      <c r="C187" s="29"/>
      <c r="D187" s="29"/>
      <c r="E187" s="29"/>
      <c r="F187" s="30"/>
      <c r="G187" s="30"/>
      <c r="H187" s="30"/>
      <c r="I187" s="120"/>
      <c r="J187" s="120"/>
      <c r="K187" s="30"/>
      <c r="L187" s="30"/>
      <c r="M187" s="30"/>
      <c r="N187" s="30"/>
      <c r="O187" s="30"/>
      <c r="P187" s="30"/>
      <c r="Q187" s="30"/>
      <c r="R187" s="30"/>
    </row>
    <row r="188" spans="2:18" x14ac:dyDescent="0.3">
      <c r="B188" s="29"/>
      <c r="C188" s="29"/>
      <c r="D188" s="29"/>
      <c r="E188" s="29"/>
      <c r="F188" s="30"/>
      <c r="G188" s="30"/>
      <c r="H188" s="30"/>
      <c r="I188" s="120"/>
      <c r="J188" s="120"/>
      <c r="K188" s="30"/>
      <c r="L188" s="30"/>
      <c r="M188" s="30"/>
      <c r="N188" s="30"/>
      <c r="O188" s="30"/>
      <c r="P188" s="30"/>
      <c r="Q188" s="30"/>
      <c r="R188" s="30"/>
    </row>
    <row r="189" spans="2:18" x14ac:dyDescent="0.3">
      <c r="B189" s="29"/>
      <c r="C189" s="29"/>
      <c r="D189" s="29"/>
      <c r="E189" s="29"/>
      <c r="F189" s="30"/>
      <c r="G189" s="30"/>
      <c r="H189" s="30"/>
      <c r="I189" s="120"/>
      <c r="J189" s="120"/>
      <c r="K189" s="30"/>
      <c r="L189" s="30"/>
      <c r="M189" s="30"/>
      <c r="N189" s="30"/>
      <c r="O189" s="30"/>
      <c r="P189" s="30"/>
      <c r="Q189" s="30"/>
      <c r="R189" s="30"/>
    </row>
    <row r="190" spans="2:18" x14ac:dyDescent="0.3">
      <c r="B190" s="29"/>
      <c r="C190" s="29"/>
      <c r="D190" s="29"/>
      <c r="E190" s="29"/>
      <c r="F190" s="30"/>
      <c r="G190" s="30"/>
      <c r="H190" s="30"/>
      <c r="I190" s="120"/>
      <c r="J190" s="120"/>
      <c r="K190" s="30"/>
      <c r="L190" s="30"/>
      <c r="M190" s="30"/>
      <c r="N190" s="30"/>
      <c r="O190" s="30"/>
      <c r="P190" s="30"/>
      <c r="Q190" s="30"/>
      <c r="R190" s="30"/>
    </row>
    <row r="191" spans="2:18" x14ac:dyDescent="0.3">
      <c r="B191" s="29"/>
      <c r="C191" s="29"/>
      <c r="D191" s="29"/>
      <c r="E191" s="29"/>
      <c r="F191" s="30"/>
      <c r="G191" s="30"/>
      <c r="H191" s="30"/>
      <c r="I191" s="120"/>
      <c r="J191" s="120"/>
      <c r="K191" s="30"/>
      <c r="L191" s="30"/>
      <c r="M191" s="30"/>
      <c r="N191" s="30"/>
      <c r="O191" s="30"/>
      <c r="P191" s="30"/>
      <c r="Q191" s="30"/>
      <c r="R191" s="30"/>
    </row>
    <row r="192" spans="2:18" x14ac:dyDescent="0.3">
      <c r="B192" s="29"/>
      <c r="C192" s="29"/>
      <c r="D192" s="29"/>
      <c r="E192" s="29"/>
      <c r="F192" s="30"/>
      <c r="G192" s="30"/>
      <c r="H192" s="30"/>
      <c r="I192" s="120"/>
      <c r="J192" s="120"/>
      <c r="K192" s="30"/>
      <c r="L192" s="30"/>
      <c r="M192" s="30"/>
      <c r="N192" s="30"/>
      <c r="O192" s="30"/>
      <c r="P192" s="30"/>
      <c r="Q192" s="30"/>
      <c r="R192" s="30"/>
    </row>
    <row r="193" spans="2:18" x14ac:dyDescent="0.3">
      <c r="B193" s="29"/>
      <c r="C193" s="29"/>
      <c r="D193" s="29"/>
      <c r="E193" s="29"/>
      <c r="F193" s="30"/>
      <c r="G193" s="30"/>
      <c r="H193" s="30"/>
      <c r="I193" s="120"/>
      <c r="J193" s="120"/>
      <c r="K193" s="30"/>
      <c r="L193" s="30"/>
      <c r="M193" s="30"/>
      <c r="N193" s="30"/>
      <c r="O193" s="30"/>
      <c r="P193" s="30"/>
      <c r="Q193" s="30"/>
      <c r="R193" s="30"/>
    </row>
    <row r="194" spans="2:18" x14ac:dyDescent="0.3">
      <c r="B194" s="29"/>
      <c r="C194" s="29"/>
      <c r="D194" s="29"/>
      <c r="E194" s="29"/>
      <c r="F194" s="30"/>
      <c r="G194" s="30"/>
      <c r="H194" s="30"/>
      <c r="I194" s="120"/>
      <c r="J194" s="120"/>
      <c r="K194" s="30"/>
      <c r="L194" s="30"/>
      <c r="M194" s="30"/>
      <c r="N194" s="30"/>
      <c r="O194" s="30"/>
      <c r="P194" s="30"/>
      <c r="Q194" s="30"/>
      <c r="R194" s="30"/>
    </row>
    <row r="195" spans="2:18" x14ac:dyDescent="0.3">
      <c r="B195" s="29"/>
      <c r="C195" s="29"/>
      <c r="D195" s="29"/>
      <c r="E195" s="29"/>
      <c r="F195" s="30"/>
      <c r="G195" s="30"/>
      <c r="H195" s="30"/>
      <c r="I195" s="120"/>
      <c r="J195" s="120"/>
      <c r="K195" s="30"/>
      <c r="L195" s="30"/>
      <c r="M195" s="30"/>
      <c r="N195" s="30"/>
      <c r="O195" s="30"/>
      <c r="P195" s="30"/>
      <c r="Q195" s="30"/>
      <c r="R195" s="30"/>
    </row>
    <row r="196" spans="2:18" x14ac:dyDescent="0.3">
      <c r="B196" s="29"/>
      <c r="C196" s="29"/>
      <c r="D196" s="29"/>
      <c r="E196" s="29"/>
      <c r="F196" s="30"/>
      <c r="G196" s="30"/>
      <c r="H196" s="30"/>
      <c r="I196" s="120"/>
      <c r="J196" s="120"/>
      <c r="K196" s="30"/>
      <c r="L196" s="30"/>
      <c r="M196" s="30"/>
      <c r="N196" s="30"/>
      <c r="O196" s="30"/>
      <c r="P196" s="30"/>
      <c r="Q196" s="30"/>
      <c r="R196" s="30"/>
    </row>
    <row r="197" spans="2:18" x14ac:dyDescent="0.3">
      <c r="B197" s="29"/>
      <c r="C197" s="29"/>
      <c r="D197" s="29"/>
      <c r="E197" s="29"/>
      <c r="F197" s="30"/>
      <c r="G197" s="30"/>
      <c r="H197" s="30"/>
      <c r="I197" s="120"/>
      <c r="J197" s="120"/>
      <c r="K197" s="30"/>
      <c r="L197" s="30"/>
      <c r="M197" s="30"/>
      <c r="N197" s="30"/>
      <c r="O197" s="30"/>
      <c r="P197" s="30"/>
      <c r="Q197" s="30"/>
      <c r="R197" s="30"/>
    </row>
    <row r="198" spans="2:18" x14ac:dyDescent="0.3">
      <c r="B198" s="29"/>
      <c r="C198" s="29"/>
      <c r="D198" s="29"/>
      <c r="E198" s="29"/>
      <c r="F198" s="30"/>
      <c r="G198" s="30"/>
      <c r="H198" s="30"/>
      <c r="I198" s="120"/>
      <c r="J198" s="120"/>
      <c r="K198" s="30"/>
      <c r="L198" s="30"/>
      <c r="M198" s="30"/>
      <c r="N198" s="30"/>
      <c r="O198" s="30"/>
      <c r="P198" s="30"/>
      <c r="Q198" s="30"/>
      <c r="R198" s="30"/>
    </row>
    <row r="199" spans="2:18" x14ac:dyDescent="0.3">
      <c r="B199" s="29"/>
      <c r="C199" s="29"/>
      <c r="D199" s="29"/>
      <c r="E199" s="29"/>
      <c r="F199" s="30"/>
      <c r="G199" s="30"/>
      <c r="H199" s="30"/>
      <c r="I199" s="120"/>
      <c r="J199" s="120"/>
      <c r="K199" s="30"/>
      <c r="L199" s="30"/>
      <c r="M199" s="30"/>
      <c r="N199" s="30"/>
      <c r="O199" s="30"/>
      <c r="P199" s="30"/>
      <c r="Q199" s="30"/>
      <c r="R199" s="30"/>
    </row>
    <row r="200" spans="2:18" x14ac:dyDescent="0.3">
      <c r="B200" s="29"/>
      <c r="C200" s="29"/>
      <c r="D200" s="29"/>
      <c r="E200" s="29"/>
      <c r="F200" s="30"/>
      <c r="G200" s="30"/>
      <c r="H200" s="30"/>
      <c r="I200" s="120"/>
      <c r="J200" s="120"/>
      <c r="K200" s="30"/>
      <c r="L200" s="30"/>
      <c r="M200" s="30"/>
      <c r="N200" s="30"/>
      <c r="O200" s="30"/>
      <c r="P200" s="30"/>
      <c r="Q200" s="30"/>
      <c r="R200" s="30"/>
    </row>
    <row r="201" spans="2:18" x14ac:dyDescent="0.3">
      <c r="B201" s="29"/>
      <c r="C201" s="29"/>
      <c r="D201" s="29"/>
      <c r="E201" s="29"/>
      <c r="F201" s="30"/>
      <c r="G201" s="30"/>
      <c r="H201" s="30"/>
      <c r="I201" s="120"/>
      <c r="J201" s="120"/>
      <c r="K201" s="30"/>
      <c r="L201" s="30"/>
      <c r="M201" s="30"/>
      <c r="N201" s="30"/>
      <c r="O201" s="30"/>
      <c r="P201" s="30"/>
      <c r="Q201" s="30"/>
      <c r="R201" s="30"/>
    </row>
    <row r="202" spans="2:18" x14ac:dyDescent="0.3">
      <c r="B202" s="29"/>
      <c r="C202" s="29"/>
      <c r="D202" s="29"/>
      <c r="E202" s="29"/>
      <c r="F202" s="30"/>
      <c r="G202" s="30"/>
      <c r="H202" s="30"/>
      <c r="I202" s="120"/>
      <c r="J202" s="120"/>
      <c r="K202" s="30"/>
      <c r="L202" s="30"/>
      <c r="M202" s="30"/>
      <c r="N202" s="30"/>
      <c r="O202" s="30"/>
      <c r="P202" s="30"/>
      <c r="Q202" s="30"/>
      <c r="R202" s="30"/>
    </row>
    <row r="203" spans="2:18" x14ac:dyDescent="0.3">
      <c r="B203" s="29"/>
      <c r="C203" s="29"/>
      <c r="D203" s="29"/>
      <c r="E203" s="29"/>
      <c r="F203" s="30"/>
      <c r="G203" s="30"/>
      <c r="H203" s="30"/>
      <c r="I203" s="120"/>
      <c r="J203" s="120"/>
      <c r="K203" s="30"/>
      <c r="L203" s="30"/>
      <c r="M203" s="30"/>
      <c r="N203" s="30"/>
      <c r="O203" s="30"/>
      <c r="P203" s="30"/>
      <c r="Q203" s="30"/>
      <c r="R203" s="30"/>
    </row>
    <row r="204" spans="2:18" x14ac:dyDescent="0.3">
      <c r="B204" s="29"/>
      <c r="C204" s="29"/>
      <c r="D204" s="29"/>
      <c r="E204" s="29"/>
      <c r="F204" s="30"/>
      <c r="G204" s="30"/>
      <c r="H204" s="30"/>
      <c r="I204" s="120"/>
      <c r="J204" s="120"/>
      <c r="K204" s="30"/>
      <c r="L204" s="30"/>
      <c r="M204" s="30"/>
      <c r="N204" s="30"/>
      <c r="O204" s="30"/>
      <c r="P204" s="30"/>
      <c r="Q204" s="30"/>
      <c r="R204" s="30"/>
    </row>
    <row r="205" spans="2:18" x14ac:dyDescent="0.3">
      <c r="B205" s="29"/>
      <c r="C205" s="29"/>
      <c r="D205" s="29"/>
      <c r="E205" s="29"/>
      <c r="F205" s="30"/>
      <c r="G205" s="30"/>
      <c r="H205" s="30"/>
      <c r="I205" s="120"/>
      <c r="J205" s="120"/>
      <c r="K205" s="30"/>
      <c r="L205" s="30"/>
      <c r="M205" s="30"/>
      <c r="N205" s="30"/>
      <c r="O205" s="30"/>
      <c r="P205" s="30"/>
      <c r="Q205" s="30"/>
      <c r="R205" s="30"/>
    </row>
    <row r="206" spans="2:18" x14ac:dyDescent="0.3">
      <c r="B206" s="29"/>
      <c r="C206" s="29"/>
      <c r="D206" s="29"/>
      <c r="E206" s="29"/>
      <c r="F206" s="30"/>
      <c r="G206" s="30"/>
      <c r="H206" s="30"/>
      <c r="I206" s="120"/>
      <c r="J206" s="120"/>
      <c r="K206" s="30"/>
      <c r="L206" s="30"/>
      <c r="M206" s="30"/>
      <c r="N206" s="30"/>
      <c r="O206" s="30"/>
      <c r="P206" s="30"/>
      <c r="Q206" s="30"/>
      <c r="R206" s="30"/>
    </row>
    <row r="207" spans="2:18" x14ac:dyDescent="0.3">
      <c r="B207" s="29"/>
      <c r="C207" s="29"/>
      <c r="D207" s="29"/>
      <c r="E207" s="29"/>
      <c r="F207" s="30"/>
      <c r="G207" s="30"/>
      <c r="H207" s="30"/>
      <c r="I207" s="120"/>
      <c r="J207" s="120"/>
      <c r="K207" s="30"/>
      <c r="L207" s="30"/>
      <c r="M207" s="30"/>
      <c r="N207" s="30"/>
      <c r="O207" s="30"/>
      <c r="P207" s="30"/>
      <c r="Q207" s="30"/>
      <c r="R207" s="30"/>
    </row>
    <row r="208" spans="2:18" x14ac:dyDescent="0.3">
      <c r="B208" s="29"/>
      <c r="C208" s="29"/>
      <c r="D208" s="29"/>
      <c r="E208" s="29"/>
      <c r="F208" s="30"/>
      <c r="G208" s="30"/>
      <c r="H208" s="30"/>
      <c r="I208" s="120"/>
      <c r="J208" s="120"/>
      <c r="K208" s="30"/>
      <c r="L208" s="30"/>
      <c r="M208" s="30"/>
      <c r="N208" s="30"/>
      <c r="O208" s="30"/>
      <c r="P208" s="30"/>
      <c r="Q208" s="30"/>
      <c r="R208" s="30"/>
    </row>
    <row r="209" spans="2:18" x14ac:dyDescent="0.3">
      <c r="B209" s="29"/>
      <c r="C209" s="29"/>
      <c r="D209" s="29"/>
      <c r="E209" s="29"/>
      <c r="F209" s="30"/>
      <c r="G209" s="30"/>
      <c r="H209" s="30"/>
      <c r="I209" s="120"/>
      <c r="J209" s="120"/>
      <c r="K209" s="30"/>
      <c r="L209" s="30"/>
      <c r="M209" s="30"/>
      <c r="N209" s="30"/>
      <c r="O209" s="30"/>
      <c r="P209" s="30"/>
      <c r="Q209" s="30"/>
      <c r="R209" s="30"/>
    </row>
    <row r="210" spans="2:18" x14ac:dyDescent="0.3">
      <c r="B210" s="29"/>
      <c r="C210" s="29"/>
      <c r="D210" s="29"/>
      <c r="E210" s="29"/>
      <c r="F210" s="30"/>
      <c r="G210" s="30"/>
      <c r="H210" s="30"/>
      <c r="I210" s="120"/>
      <c r="J210" s="120"/>
      <c r="K210" s="30"/>
      <c r="L210" s="30"/>
      <c r="M210" s="30"/>
      <c r="N210" s="30"/>
      <c r="O210" s="30"/>
      <c r="P210" s="30"/>
      <c r="Q210" s="30"/>
      <c r="R210" s="30"/>
    </row>
    <row r="211" spans="2:18" x14ac:dyDescent="0.3">
      <c r="B211" s="29"/>
      <c r="C211" s="29"/>
      <c r="D211" s="29"/>
      <c r="E211" s="29"/>
      <c r="F211" s="30"/>
      <c r="G211" s="30"/>
      <c r="H211" s="30"/>
      <c r="I211" s="120"/>
      <c r="J211" s="120"/>
      <c r="K211" s="30"/>
      <c r="L211" s="30"/>
      <c r="M211" s="30"/>
      <c r="N211" s="30"/>
      <c r="O211" s="30"/>
      <c r="P211" s="30"/>
      <c r="Q211" s="30"/>
      <c r="R211" s="30"/>
    </row>
    <row r="212" spans="2:18" x14ac:dyDescent="0.3">
      <c r="B212" s="29"/>
      <c r="C212" s="29"/>
      <c r="D212" s="29"/>
      <c r="E212" s="29"/>
      <c r="F212" s="30"/>
      <c r="G212" s="30"/>
      <c r="H212" s="30"/>
      <c r="I212" s="120"/>
      <c r="J212" s="120"/>
      <c r="K212" s="30"/>
      <c r="L212" s="30"/>
      <c r="M212" s="30"/>
      <c r="N212" s="30"/>
      <c r="O212" s="30"/>
      <c r="P212" s="30"/>
      <c r="Q212" s="30"/>
      <c r="R212" s="30"/>
    </row>
    <row r="213" spans="2:18" x14ac:dyDescent="0.3">
      <c r="B213" s="29"/>
      <c r="C213" s="29"/>
      <c r="D213" s="29"/>
      <c r="E213" s="29"/>
      <c r="F213" s="30"/>
      <c r="G213" s="30"/>
      <c r="H213" s="30"/>
      <c r="I213" s="120"/>
      <c r="J213" s="120"/>
      <c r="K213" s="30"/>
      <c r="L213" s="30"/>
      <c r="M213" s="30"/>
      <c r="N213" s="30"/>
      <c r="O213" s="30"/>
      <c r="P213" s="30"/>
      <c r="Q213" s="30"/>
      <c r="R213" s="30"/>
    </row>
    <row r="214" spans="2:18" x14ac:dyDescent="0.3">
      <c r="B214" s="29"/>
      <c r="C214" s="29"/>
      <c r="D214" s="29"/>
      <c r="E214" s="29"/>
      <c r="F214" s="30"/>
      <c r="G214" s="30"/>
      <c r="H214" s="30"/>
      <c r="I214" s="120"/>
      <c r="J214" s="120"/>
      <c r="K214" s="30"/>
      <c r="L214" s="30"/>
      <c r="M214" s="30"/>
      <c r="N214" s="30"/>
      <c r="O214" s="30"/>
      <c r="P214" s="30"/>
      <c r="Q214" s="30"/>
      <c r="R214" s="30"/>
    </row>
    <row r="215" spans="2:18" x14ac:dyDescent="0.3">
      <c r="B215" s="29"/>
      <c r="C215" s="29"/>
      <c r="D215" s="29"/>
      <c r="E215" s="29"/>
      <c r="F215" s="30"/>
      <c r="G215" s="30"/>
      <c r="H215" s="30"/>
      <c r="I215" s="120"/>
      <c r="J215" s="120"/>
      <c r="K215" s="30"/>
      <c r="L215" s="30"/>
      <c r="M215" s="30"/>
      <c r="N215" s="30"/>
      <c r="O215" s="30"/>
      <c r="P215" s="30"/>
      <c r="Q215" s="30"/>
      <c r="R215" s="30"/>
    </row>
    <row r="216" spans="2:18" x14ac:dyDescent="0.3">
      <c r="B216" s="29"/>
      <c r="C216" s="29"/>
      <c r="D216" s="29"/>
      <c r="E216" s="29"/>
      <c r="F216" s="30"/>
      <c r="G216" s="30"/>
      <c r="H216" s="30"/>
      <c r="I216" s="120"/>
      <c r="J216" s="120"/>
      <c r="K216" s="30"/>
      <c r="L216" s="30"/>
      <c r="M216" s="30"/>
      <c r="N216" s="30"/>
      <c r="O216" s="30"/>
      <c r="P216" s="30"/>
      <c r="Q216" s="30"/>
      <c r="R216" s="30"/>
    </row>
    <row r="217" spans="2:18" x14ac:dyDescent="0.3">
      <c r="B217" s="29"/>
      <c r="C217" s="29"/>
      <c r="D217" s="29"/>
      <c r="E217" s="29"/>
      <c r="F217" s="30"/>
      <c r="G217" s="30"/>
      <c r="H217" s="30"/>
      <c r="I217" s="120"/>
      <c r="J217" s="120"/>
      <c r="K217" s="30"/>
      <c r="L217" s="30"/>
      <c r="M217" s="30"/>
      <c r="N217" s="30"/>
      <c r="O217" s="30"/>
      <c r="P217" s="30"/>
      <c r="Q217" s="30"/>
      <c r="R217" s="30"/>
    </row>
  </sheetData>
  <mergeCells count="2">
    <mergeCell ref="A3:E3"/>
    <mergeCell ref="A4:E4"/>
  </mergeCells>
  <phoneticPr fontId="4" type="noConversion"/>
  <printOptions horizontalCentered="1" verticalCentered="1"/>
  <pageMargins left="0.35" right="0.25" top="0.98425196850393704" bottom="0.54" header="0.511811023622047" footer="0.511811023622047"/>
  <pageSetup paperSize="9" scale="61" orientation="landscape"/>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12">
    <outlinePr applyStyles="1" summaryBelow="0"/>
    <pageSetUpPr fitToPage="1"/>
  </sheetPr>
  <dimension ref="A2:T6"/>
  <sheetViews>
    <sheetView workbookViewId="0">
      <selection activeCell="A4" sqref="A4"/>
    </sheetView>
  </sheetViews>
  <sheetFormatPr defaultColWidth="9.109375" defaultRowHeight="13.8" x14ac:dyDescent="0.3"/>
  <cols>
    <col min="1" max="1" width="54.33203125" style="26" bestFit="1" customWidth="1"/>
    <col min="2" max="2" width="10.5546875" style="26" bestFit="1" customWidth="1"/>
    <col min="3" max="3" width="11.44140625" style="26" bestFit="1" customWidth="1"/>
    <col min="4" max="4" width="6.33203125" style="26" bestFit="1" customWidth="1"/>
    <col min="5" max="5" width="7.5546875" style="26" hidden="1" customWidth="1"/>
    <col min="6" max="6" width="9.109375" style="26" customWidth="1"/>
    <col min="7" max="16384" width="9.109375" style="26"/>
  </cols>
  <sheetData>
    <row r="2" spans="1:20" ht="36.75" customHeight="1" x14ac:dyDescent="0.35">
      <c r="A2" s="294" t="s">
        <v>88</v>
      </c>
      <c r="B2" s="295"/>
      <c r="C2" s="295"/>
      <c r="D2" s="295"/>
      <c r="E2" s="30"/>
      <c r="F2" s="30"/>
      <c r="G2" s="30"/>
      <c r="H2" s="30"/>
      <c r="I2" s="30"/>
      <c r="J2" s="30"/>
      <c r="K2" s="30"/>
      <c r="L2" s="30"/>
      <c r="M2" s="30"/>
      <c r="N2" s="30"/>
      <c r="O2" s="30"/>
      <c r="P2" s="30"/>
      <c r="Q2" s="30"/>
      <c r="R2" s="30"/>
      <c r="S2" s="30"/>
      <c r="T2" s="30"/>
    </row>
    <row r="3" spans="1:20" x14ac:dyDescent="0.3">
      <c r="A3" s="28"/>
    </row>
    <row r="5" spans="1:20" s="31" customFormat="1" x14ac:dyDescent="0.3">
      <c r="D5" s="41"/>
    </row>
    <row r="6" spans="1:20" s="57" customFormat="1" x14ac:dyDescent="0.25"/>
  </sheetData>
  <mergeCells count="1">
    <mergeCell ref="A2:D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24">
    <outlinePr applyStyles="1" summaryBelow="0"/>
    <pageSetUpPr fitToPage="1"/>
  </sheetPr>
  <dimension ref="A2:T6"/>
  <sheetViews>
    <sheetView workbookViewId="0">
      <selection activeCell="A2" sqref="A2:D2"/>
    </sheetView>
  </sheetViews>
  <sheetFormatPr defaultColWidth="9.109375" defaultRowHeight="13.8" x14ac:dyDescent="0.3"/>
  <cols>
    <col min="1" max="1" width="54.33203125" style="26" bestFit="1" customWidth="1"/>
    <col min="2" max="2" width="10.5546875" style="26" bestFit="1" customWidth="1"/>
    <col min="3" max="3" width="11.44140625" style="26" bestFit="1" customWidth="1"/>
    <col min="4" max="4" width="6.33203125" style="26" bestFit="1" customWidth="1"/>
    <col min="5" max="5" width="7.5546875" style="26" hidden="1" customWidth="1"/>
    <col min="6" max="6" width="9.109375" style="26" customWidth="1"/>
    <col min="7" max="16384" width="9.109375" style="26"/>
  </cols>
  <sheetData>
    <row r="2" spans="1:20" ht="35.25" customHeight="1" x14ac:dyDescent="0.35">
      <c r="A2" s="294" t="s">
        <v>117</v>
      </c>
      <c r="B2" s="295"/>
      <c r="C2" s="295"/>
      <c r="D2" s="295"/>
      <c r="E2" s="30"/>
      <c r="F2" s="30"/>
      <c r="G2" s="30"/>
      <c r="H2" s="30"/>
      <c r="I2" s="30"/>
      <c r="J2" s="30"/>
      <c r="K2" s="30"/>
      <c r="L2" s="30"/>
      <c r="M2" s="30"/>
      <c r="N2" s="30"/>
      <c r="O2" s="30"/>
      <c r="P2" s="30"/>
      <c r="Q2" s="30"/>
      <c r="R2" s="30"/>
      <c r="S2" s="30"/>
      <c r="T2" s="30"/>
    </row>
    <row r="3" spans="1:20" x14ac:dyDescent="0.3">
      <c r="A3" s="28"/>
    </row>
    <row r="5" spans="1:20" s="31" customFormat="1" x14ac:dyDescent="0.3">
      <c r="D5" s="41"/>
    </row>
    <row r="6" spans="1:20" s="57" customFormat="1" x14ac:dyDescent="0.25"/>
  </sheetData>
  <mergeCells count="1">
    <mergeCell ref="A2:D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27">
    <outlinePr applyStyles="1" summaryBelow="0"/>
    <pageSetUpPr fitToPage="1"/>
  </sheetPr>
  <dimension ref="A2:T5"/>
  <sheetViews>
    <sheetView workbookViewId="0">
      <selection activeCell="A2" sqref="A2:G2"/>
    </sheetView>
  </sheetViews>
  <sheetFormatPr defaultColWidth="9.109375" defaultRowHeight="13.8" x14ac:dyDescent="0.3"/>
  <cols>
    <col min="1" max="1" width="77.33203125" style="26" bestFit="1" customWidth="1"/>
    <col min="2" max="7" width="8.6640625" style="26" bestFit="1" customWidth="1"/>
    <col min="8" max="8" width="7.5546875" style="26" hidden="1" customWidth="1"/>
    <col min="9" max="9" width="9.109375" style="26" customWidth="1"/>
    <col min="10" max="16384" width="9.109375" style="26"/>
  </cols>
  <sheetData>
    <row r="2" spans="1:20" ht="18" x14ac:dyDescent="0.35">
      <c r="A2" s="5" t="str">
        <f>DEBT_LAST_5_YEARS</f>
        <v>Державний та гарантований державою борг України за останні 5 років</v>
      </c>
      <c r="B2" s="295"/>
      <c r="C2" s="295"/>
      <c r="D2" s="295"/>
      <c r="E2" s="295"/>
      <c r="F2" s="295"/>
      <c r="G2" s="295"/>
      <c r="H2" s="30"/>
      <c r="I2" s="30"/>
      <c r="J2" s="30"/>
      <c r="K2" s="30"/>
      <c r="L2" s="30"/>
      <c r="M2" s="30"/>
      <c r="N2" s="30"/>
      <c r="O2" s="30"/>
      <c r="P2" s="30"/>
      <c r="Q2" s="30"/>
      <c r="R2" s="30"/>
      <c r="S2" s="30"/>
      <c r="T2" s="30"/>
    </row>
    <row r="3" spans="1:20" x14ac:dyDescent="0.3">
      <c r="A3" s="28"/>
    </row>
    <row r="4" spans="1:20" s="31" customFormat="1" x14ac:dyDescent="0.3">
      <c r="G4" s="41" t="s">
        <v>0</v>
      </c>
    </row>
    <row r="5" spans="1:20" s="57" customFormat="1" x14ac:dyDescent="0.25"/>
  </sheetData>
  <mergeCells count="1">
    <mergeCell ref="A2:G2"/>
  </mergeCells>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39">
    <pageSetUpPr fitToPage="1"/>
  </sheetPr>
  <dimension ref="A8"/>
  <sheetViews>
    <sheetView workbookViewId="0">
      <selection activeCell="L6" sqref="L6"/>
    </sheetView>
  </sheetViews>
  <sheetFormatPr defaultRowHeight="13.2" x14ac:dyDescent="0.25"/>
  <sheetData>
    <row r="8" s="9" customFormat="1" x14ac:dyDescent="0.25"/>
  </sheetData>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8">
    <tabColor indexed="14"/>
  </sheetPr>
  <dimension ref="A1:H53"/>
  <sheetViews>
    <sheetView topLeftCell="A7" workbookViewId="0">
      <selection activeCell="A10" sqref="A10"/>
    </sheetView>
  </sheetViews>
  <sheetFormatPr defaultRowHeight="13.2" x14ac:dyDescent="0.25"/>
  <cols>
    <col min="1" max="1" width="27.44140625" customWidth="1"/>
    <col min="2" max="2" width="20.6640625" customWidth="1"/>
    <col min="3" max="3" width="21.6640625" customWidth="1"/>
    <col min="4" max="6" width="15.109375" bestFit="1" customWidth="1"/>
    <col min="7" max="7" width="11" bestFit="1" customWidth="1"/>
    <col min="8" max="8" width="13.44140625" customWidth="1"/>
  </cols>
  <sheetData>
    <row r="1" spans="1:8" x14ac:dyDescent="0.25">
      <c r="A1" t="s">
        <v>159</v>
      </c>
    </row>
    <row r="3" spans="1:8" x14ac:dyDescent="0.25">
      <c r="A3" t="s">
        <v>118</v>
      </c>
      <c r="B3" s="10">
        <v>46265</v>
      </c>
      <c r="C3" s="159" t="s">
        <v>119</v>
      </c>
    </row>
    <row r="4" spans="1:8" x14ac:dyDescent="0.25">
      <c r="A4" t="s">
        <v>120</v>
      </c>
      <c r="B4" s="10" t="s">
        <v>121</v>
      </c>
      <c r="C4" s="159"/>
    </row>
    <row r="5" spans="1:8" x14ac:dyDescent="0.25">
      <c r="A5" t="s">
        <v>122</v>
      </c>
      <c r="B5">
        <v>1000000000</v>
      </c>
      <c r="C5" t="str">
        <f>IF($A$10="UKR",C7,C8 )</f>
        <v>млрд. дол. США</v>
      </c>
      <c r="D5" t="str">
        <f>IF($A$10="UKR",D7,D8 )</f>
        <v>млрд. грн</v>
      </c>
      <c r="E5" t="str">
        <f>IF($A$10="UKR",E7,E8 )</f>
        <v>млрд. одиниць</v>
      </c>
      <c r="F5">
        <f>1000000000/DDELIMER</f>
        <v>1</v>
      </c>
      <c r="G5">
        <f>IF($B$5=1,1000000000,IF($B$5=1000,1000000,IF($B$5=1000000,1000,IF($B$5=1000000000,1))))</f>
        <v>1</v>
      </c>
      <c r="H5" t="str">
        <f>IF($A$10="UKR",H7,H8 )</f>
        <v>млрд. євро</v>
      </c>
    </row>
    <row r="6" spans="1:8" x14ac:dyDescent="0.25">
      <c r="A6" t="s">
        <v>123</v>
      </c>
      <c r="B6" t="s">
        <v>124</v>
      </c>
    </row>
    <row r="7" spans="1:8" x14ac:dyDescent="0.25">
      <c r="C7" t="str">
        <f>IF($B$5=1,REPORT_CUR_UAH,IF($B$5=1000,"тис. " &amp; REPORT_CUR_UAH,IF($B$5=1000000,"млн. " &amp; REPORT_CUR_UAH,IF($B$5=1000000000,"млрд. " &amp; REPORT_CUR_UAH))))</f>
        <v>млрд. дол. США</v>
      </c>
      <c r="D7" t="str">
        <f>IF($B$5=1,"грн",IF($B$5=1000,"тис. грн",IF($B$5=1000000,"млн. грн",IF($B$5=1000000000,"млрд. грн"))))</f>
        <v>млрд. грн</v>
      </c>
      <c r="E7" t="str">
        <f>IF($B$5=1,"одиниць",IF($B$5=1000,"тис. одиниць",IF($B$5=1000000,"млн. одиниць",IF($B$5=1000000000,"млрд. одиниць"))))</f>
        <v>млрд. одиниць</v>
      </c>
      <c r="H7" t="str">
        <f>IF($B$5=1,"євро",IF($B$5=1000,"тис. євро",IF($B$5=1000000,"млн. євро",IF($B$5=1000000000,"млрд. євро"))))</f>
        <v>млрд. євро</v>
      </c>
    </row>
    <row r="8" spans="1:8" x14ac:dyDescent="0.25">
      <c r="C8" t="str">
        <f>IF($B$5=1,REPORT_CUR_ENG,IF($B$5=1000,"th USD",IF($B$5=1000000,"ml " &amp; REPORT_CUR_ENG,IF($B$5=1000000000,"bn " &amp; REPORT_CUR_ENG))))</f>
        <v>bn USD</v>
      </c>
      <c r="D8" t="str">
        <f>IF($B$5=1,"UAH",IF($B$5=1000,"th UAH",IF($B$5=1000000,"ml UAH",IF($B$5=1000000000,"bn UAH"))))</f>
        <v>bn UAH</v>
      </c>
      <c r="E8" t="str">
        <f>IF($B$5=1,"units",IF($B$5=1000,"th units",IF($B$5=1000000,"ml units",IF($B$5=1000000000,"bn units"))))</f>
        <v>bn units</v>
      </c>
      <c r="H8" t="str">
        <f>IF($B$5=1,"EUR",IF($B$5=1000,"th EUR",IF($B$5=1000000,"ml EUR",IF($B$5=1000000000,"bn EUR"))))</f>
        <v>bn EUR</v>
      </c>
    </row>
    <row r="9" spans="1:8" x14ac:dyDescent="0.25">
      <c r="A9" t="s">
        <v>125</v>
      </c>
    </row>
    <row r="10" spans="1:8" x14ac:dyDescent="0.25">
      <c r="A10" t="s">
        <v>126</v>
      </c>
    </row>
    <row r="11" spans="1:8" x14ac:dyDescent="0.25">
      <c r="A11" t="s">
        <v>127</v>
      </c>
    </row>
    <row r="12" spans="1:8" x14ac:dyDescent="0.25">
      <c r="A12" t="s">
        <v>128</v>
      </c>
    </row>
    <row r="13" spans="1:8" x14ac:dyDescent="0.25">
      <c r="A13">
        <v>1000000000</v>
      </c>
    </row>
    <row r="15" spans="1:8" ht="79.2" x14ac:dyDescent="0.25">
      <c r="A15" t="s">
        <v>129</v>
      </c>
      <c r="B15" s="160" t="str">
        <f>IF(REPORT_LANG="UKR","Державний та гарантований державою борг України за останні 5 років","State debt and state guaranteed debt of Ukraine for the last 5 years")</f>
        <v>Державний та гарантований державою борг України за останні 5 років</v>
      </c>
      <c r="C15" s="160" t="str">
        <f>IF(REPORT_LANG="UKR","(в розрізі середнього терміну обігу та середньої ставки)","(in terms of average term of circulation and average rate)")</f>
        <v>(в розрізі середнього терміну обігу та середньої ставки)</v>
      </c>
      <c r="D15" s="160" t="str">
        <f>IF(REPORT_LANG="UKR","Державний та гарантований державою борг України за останні 5 років","State debt and state guaranteed debt of Ukraine for the last 5 years") &amp; "
(" &amp; VALUSD &amp; ")"</f>
        <v>Державний та гарантований державою борг України за останні 5 років
(млрд. дол. США)</v>
      </c>
      <c r="E15" s="160" t="str">
        <f>IF(REPORT_LANG="UKR","Державний та гарантований державою борг України за останні 5 років","State debt and state guaranteed debt of Ukraine for the last 5 years") &amp; "
(" &amp; VALUAH &amp; ")"</f>
        <v>Державний та гарантований державою борг України за останні 5 років
(млрд. грн)</v>
      </c>
      <c r="F15" s="160" t="str">
        <f>IF(REPORT_LANG="UKR","Динаміка державного боргу за останні 5 років
(відсоткова структура)","State debt dynamics over the past 5 years
(percentage structure)")</f>
        <v>Динаміка державного боргу за останні 5 років
(відсоткова структура)</v>
      </c>
    </row>
    <row r="16" spans="1:8" ht="92.4" x14ac:dyDescent="0.25">
      <c r="B16" s="160" t="str">
        <f>IF(REPORT_LANG="UKR","Державний та гарантований державою борг України
станом на ","State debt and state guaranteed debt of Ukraine
as of ") &amp; STRPRESENTDATE</f>
        <v>Державний та гарантований державою борг України
станом на 31.08.2026</v>
      </c>
      <c r="C16" s="160" t="str">
        <f>IF(REPORT_LANG="UKR","Державний та гарантований державою борг України
станом на " &amp; STRPRESENTDATE &amp; "
(в розрізі середнього терміну обігу та середньої ставки)","State debt and state guaranteed debt of Ukraine
as of " &amp; STRPRESENTDATE &amp; "
(in terms of average term of circulation and average rate)")</f>
        <v>Державний та гарантований державою борг України
станом на 31.08.2026
(в розрізі середнього терміну обігу та середньої ставки)</v>
      </c>
      <c r="D16" s="160" t="str">
        <f>IF(REPORT_LANG="UKR","(за типом кредитора)","(by creditor type)")</f>
        <v>(за типом кредитора)</v>
      </c>
      <c r="E16" s="160" t="str">
        <f>IF(REPORT_LANG="UKR","(в розрізі валют погашення)","(in terms of repayment currencies)")</f>
        <v>(в розрізі валют погашення)</v>
      </c>
      <c r="F16" s="160" t="str">
        <f>IF(REPORT_LANG="UKR","(за видами відсоткових ставок)","(by types of interest rates)")</f>
        <v>(за видами відсоткових ставок)</v>
      </c>
    </row>
    <row r="17" spans="2:7" ht="66" x14ac:dyDescent="0.25">
      <c r="B17" s="160" t="str">
        <f>IF(REPORT_LANG="UKR","Структура державного та гарантованого державою боргу
в розрізі термінів погашення","The structure of state and state-guaranteed debt
in terms of repayment terms")</f>
        <v>Структура державного та гарантованого державою боргу
в розрізі термінів погашення</v>
      </c>
    </row>
    <row r="18" spans="2:7" x14ac:dyDescent="0.25">
      <c r="B18" t="str">
        <f>IF(REPORT_LANG="UKR",REPORT_CUR_UAH,REPORT_CUR_ENG)</f>
        <v>дол. США</v>
      </c>
    </row>
    <row r="19" spans="2:7" x14ac:dyDescent="0.25">
      <c r="B19" t="str">
        <f>IF(REPORT_LANG="UKR","грн.","UAH")</f>
        <v>грн.</v>
      </c>
    </row>
    <row r="20" spans="2:7" x14ac:dyDescent="0.25">
      <c r="B20" t="str">
        <f>IF(REPORT_LANG="UKR","євро","EUR")</f>
        <v>євро</v>
      </c>
    </row>
    <row r="21" spans="2:7" ht="66" x14ac:dyDescent="0.25">
      <c r="B21" s="160" t="str">
        <f>IF(REPORT_LANG="UKR","Структура боргу за ознакою умовності
на кінець попереднього року та на звітну дату","Debt structure based on characteristic of conventionality
at the end of the previous year and on the reporting date")</f>
        <v>Структура боргу за ознакою умовності
на кінець попереднього року та на звітну дату</v>
      </c>
    </row>
    <row r="22" spans="2:7" x14ac:dyDescent="0.25">
      <c r="B22" t="str">
        <f>IF(REPORT_LANG="UKR","Зміна структури","Change of structure")</f>
        <v>Зміна структури</v>
      </c>
    </row>
    <row r="23" spans="2:7" ht="52.8" x14ac:dyDescent="0.25">
      <c r="B23" s="160" t="str">
        <f>IF(REPORT_LANG="UKR","Валютна структура боргу на кінець попереднього року та на звітну дату","Currency structure of debt at the end of the previous year and at the reporting date")</f>
        <v>Валютна структура боргу на кінець попереднього року та на звітну дату</v>
      </c>
      <c r="C23" s="160" t="str">
        <f>IF(REPORT_LANG="UKR","(розширений)","(extended)")</f>
        <v>(розширений)</v>
      </c>
    </row>
    <row r="24" spans="2:7" x14ac:dyDescent="0.25">
      <c r="B24" t="str">
        <f>IF(REPORT_LANG="UKR","оріг.","original")</f>
        <v>оріг.</v>
      </c>
    </row>
    <row r="25" spans="2:7" x14ac:dyDescent="0.25">
      <c r="B25" t="str">
        <f>IF(REPORT_LANG="UKR","курс до " &amp; REPORT_CUR_ENG,"exchange rate to " &amp; REPORT_CUR_ENG)</f>
        <v>курс до USD</v>
      </c>
    </row>
    <row r="26" spans="2:7" x14ac:dyDescent="0.25">
      <c r="B26" t="str">
        <f>IF(REPORT_LANG="UKR","курс до UAH","exchange rate to UAH")</f>
        <v>курс до UAH</v>
      </c>
    </row>
    <row r="27" spans="2:7" ht="52.8" x14ac:dyDescent="0.25">
      <c r="B27" s="160" t="str">
        <f>IF(REPORT_LANG="UKR","Структура боргу за типом ставки на кінець попереднього року та звітну дату","Debt structure by rate type at the end of the previous year and reporting date")</f>
        <v>Структура боргу за типом ставки на кінець попереднього року та звітну дату</v>
      </c>
    </row>
    <row r="28" spans="2:7" ht="66" x14ac:dyDescent="0.25">
      <c r="B28" s="160" t="str">
        <f>IF(REPORT_LANG="UKR","Державний та гарантований державою борг України за поточний рік","State debt and state guaranteed debt of Ukraine for the current year")</f>
        <v>Державний та гарантований державою борг України за поточний рік</v>
      </c>
    </row>
    <row r="29" spans="2:7" ht="52.8" x14ac:dyDescent="0.25">
      <c r="B29" s="160" t="str">
        <f>IF(REPORT_LANG="UKR","Загальна сума державного та гарантованого державою боргу","The total amount of state and state-guaranteed debt")</f>
        <v>Загальна сума державного та гарантованого державою боргу</v>
      </c>
      <c r="C29" s="160" t="str">
        <f>IF(REPORT_LANG="UKR","Державний та гарантований державою борг України","State and state-guaranteed debt of Ukraine")</f>
        <v>Державний та гарантований державою борг України</v>
      </c>
    </row>
    <row r="30" spans="2:7" x14ac:dyDescent="0.25">
      <c r="B30" s="160" t="str">
        <f>IF(REPORT_LANG="UKR","В тому числі:","Including:")</f>
        <v>В тому числі:</v>
      </c>
    </row>
    <row r="31" spans="2:7" ht="39.6" x14ac:dyDescent="0.25">
      <c r="B31" s="160" t="str">
        <f>IF(REPORT_LANG="UKR","Середня ставка,
%","average rate,
%")</f>
        <v>Середня ставка,
%</v>
      </c>
      <c r="C31" s="160" t="str">
        <f>IF(REPORT_LANG="UKR","Середній термін обігу, років.","Average term of circulation, years.")</f>
        <v>Середній термін обігу, років.</v>
      </c>
      <c r="D31" s="160" t="str">
        <f>IF(REPORT_LANG="UKR","Середній термін до погашення, років.","Average term to repayment, years.")</f>
        <v>Середній термін до погашення, років.</v>
      </c>
      <c r="E31" s="160" t="str">
        <f>IF(REPORT_LANG="UKR","Сума боргу","Amount of debt")</f>
        <v>Сума боргу</v>
      </c>
      <c r="F31" s="160"/>
      <c r="G31" s="160"/>
    </row>
    <row r="32" spans="2:7" x14ac:dyDescent="0.25">
      <c r="B32" s="160"/>
    </row>
    <row r="33" spans="2:2" x14ac:dyDescent="0.25">
      <c r="B33" s="160"/>
    </row>
    <row r="34" spans="2:2" x14ac:dyDescent="0.25">
      <c r="B34" s="160"/>
    </row>
    <row r="35" spans="2:2" x14ac:dyDescent="0.25">
      <c r="B35" s="160"/>
    </row>
    <row r="36" spans="2:2" x14ac:dyDescent="0.25">
      <c r="B36" s="160"/>
    </row>
    <row r="37" spans="2:2" x14ac:dyDescent="0.25">
      <c r="B37" s="160"/>
    </row>
    <row r="38" spans="2:2" x14ac:dyDescent="0.25">
      <c r="B38" s="160"/>
    </row>
    <row r="39" spans="2:2" x14ac:dyDescent="0.25">
      <c r="B39" s="160"/>
    </row>
    <row r="40" spans="2:2" x14ac:dyDescent="0.25">
      <c r="B40" s="160"/>
    </row>
    <row r="41" spans="2:2" x14ac:dyDescent="0.25">
      <c r="B41" s="160"/>
    </row>
    <row r="42" spans="2:2" x14ac:dyDescent="0.25">
      <c r="B42" s="160"/>
    </row>
    <row r="43" spans="2:2" x14ac:dyDescent="0.25">
      <c r="B43" s="160"/>
    </row>
    <row r="44" spans="2:2" x14ac:dyDescent="0.25">
      <c r="B44" s="160"/>
    </row>
    <row r="45" spans="2:2" x14ac:dyDescent="0.25">
      <c r="B45" s="160"/>
    </row>
    <row r="46" spans="2:2" x14ac:dyDescent="0.25">
      <c r="B46" s="160"/>
    </row>
    <row r="47" spans="2:2" x14ac:dyDescent="0.25">
      <c r="B47" s="160"/>
    </row>
    <row r="48" spans="2:2" x14ac:dyDescent="0.25">
      <c r="B48" s="160"/>
    </row>
    <row r="49" spans="2:2" x14ac:dyDescent="0.25">
      <c r="B49" s="160"/>
    </row>
    <row r="50" spans="2:2" x14ac:dyDescent="0.25">
      <c r="B50" s="160"/>
    </row>
    <row r="51" spans="2:2" x14ac:dyDescent="0.25">
      <c r="B51" s="160"/>
    </row>
    <row r="52" spans="2:2" x14ac:dyDescent="0.25">
      <c r="B52" s="160"/>
    </row>
    <row r="53" spans="2:2" x14ac:dyDescent="0.25">
      <c r="B53" s="160"/>
    </row>
  </sheetData>
  <phoneticPr fontId="4" type="noConversion"/>
  <pageMargins left="0.75" right="0.75" top="1" bottom="1" header="0.5" footer="0.5"/>
  <pageSetup paperSize="9" orientation="portrait"/>
  <headerFooter alignWithMargins="0"/>
  <ignoredErrors>
    <ignoredError sqref="C15" formula="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30">
    <pageSetUpPr fitToPage="1"/>
  </sheetPr>
  <dimension ref="A7:A8"/>
  <sheetViews>
    <sheetView workbookViewId="0">
      <selection activeCell="Q12" sqref="Q12"/>
    </sheetView>
  </sheetViews>
  <sheetFormatPr defaultRowHeight="13.2" x14ac:dyDescent="0.25"/>
  <sheetData>
    <row r="7" s="7" customFormat="1" x14ac:dyDescent="0.25"/>
    <row r="8" s="8" customFormat="1" ht="10.199999999999999" x14ac:dyDescent="0.25"/>
  </sheetData>
  <phoneticPr fontId="4" type="noConversion"/>
  <printOptions horizontalCentered="1" verticalCentered="1"/>
  <pageMargins left="0.78740157480314998" right="0.78740157480314998" top="0.98425196850393704" bottom="0.98425196850393704" header="0.511811023622047" footer="0.511811023622047"/>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Аркуші</vt:lpstr>
      </vt:variant>
      <vt:variant>
        <vt:i4>39</vt:i4>
      </vt:variant>
      <vt:variant>
        <vt:lpstr>Діаграми</vt:lpstr>
      </vt:variant>
      <vt:variant>
        <vt:i4>25</vt:i4>
      </vt:variant>
      <vt:variant>
        <vt:lpstr>Іменовані діапазони</vt:lpstr>
      </vt:variant>
      <vt:variant>
        <vt:i4>113</vt:i4>
      </vt:variant>
    </vt:vector>
  </HeadingPairs>
  <TitlesOfParts>
    <vt:vector size="177" baseType="lpstr">
      <vt:lpstr>MTK2_UAH</vt:lpstr>
      <vt:lpstr>MTK2_FCUR</vt:lpstr>
      <vt:lpstr>MKT2_UAH</vt:lpstr>
      <vt:lpstr>MKT2_FCUR</vt:lpstr>
      <vt:lpstr>MKT2_EUR</vt:lpstr>
      <vt:lpstr>MT_ALL</vt:lpstr>
      <vt:lpstr>MTM_ALL</vt:lpstr>
      <vt:lpstr>MK_ALL</vt:lpstr>
      <vt:lpstr>SRATE_M</vt:lpstr>
      <vt:lpstr>SRATE</vt:lpstr>
      <vt:lpstr>RATE_M</vt:lpstr>
      <vt:lpstr>RATE</vt:lpstr>
      <vt:lpstr>RATE_CMP</vt:lpstr>
      <vt:lpstr>CUR_M</vt:lpstr>
      <vt:lpstr>CUR</vt:lpstr>
      <vt:lpstr>CUR_CMP</vt:lpstr>
      <vt:lpstr>CUR_M_EXT</vt:lpstr>
      <vt:lpstr>CUR_CMP_EXT</vt:lpstr>
      <vt:lpstr>DKT1</vt:lpstr>
      <vt:lpstr>DKT2</vt:lpstr>
      <vt:lpstr>DTK2</vt:lpstr>
      <vt:lpstr>DKR</vt:lpstr>
      <vt:lpstr>DKR2</vt:lpstr>
      <vt:lpstr>YT_ALL</vt:lpstr>
      <vt:lpstr>YTM_ALL</vt:lpstr>
      <vt:lpstr>YKM_ALL</vt:lpstr>
      <vt:lpstr>YK_ALL</vt:lpstr>
      <vt:lpstr>YKT2_UAH</vt:lpstr>
      <vt:lpstr>YKT2_FCUR</vt:lpstr>
      <vt:lpstr>YKT2_EUR</vt:lpstr>
      <vt:lpstr>KIND_CMP</vt:lpstr>
      <vt:lpstr>DTR</vt:lpstr>
      <vt:lpstr>DEBT_TERM</vt:lpstr>
      <vt:lpstr>K_ALL</vt:lpstr>
      <vt:lpstr>T_ALL</vt:lpstr>
      <vt:lpstr>YKT2_PRC</vt:lpstr>
      <vt:lpstr>TBL1</vt:lpstr>
      <vt:lpstr>DATA</vt:lpstr>
      <vt:lpstr>AVGRATE_DETAIL</vt:lpstr>
      <vt:lpstr>MK_UAHD</vt:lpstr>
      <vt:lpstr>MK_FCURD</vt:lpstr>
      <vt:lpstr>K_ALLD</vt:lpstr>
      <vt:lpstr>T_ALLD</vt:lpstr>
      <vt:lpstr>MT_UAHD</vt:lpstr>
      <vt:lpstr>MT_FCURD</vt:lpstr>
      <vt:lpstr>SRATED</vt:lpstr>
      <vt:lpstr>RATED</vt:lpstr>
      <vt:lpstr>RATEDS</vt:lpstr>
      <vt:lpstr>CURD</vt:lpstr>
      <vt:lpstr>CURDS</vt:lpstr>
      <vt:lpstr>DKRD</vt:lpstr>
      <vt:lpstr>DKR2DSTATE</vt:lpstr>
      <vt:lpstr>DKR2DGUAR</vt:lpstr>
      <vt:lpstr>YT_ALL_FCUR_D</vt:lpstr>
      <vt:lpstr>YT_ALL_UAH_D</vt:lpstr>
      <vt:lpstr>YT_ALL_PER_D</vt:lpstr>
      <vt:lpstr>YTM_ALL_UAH_D</vt:lpstr>
      <vt:lpstr>YTM_ALL_FCUR_D</vt:lpstr>
      <vt:lpstr>YKM_ALL_UAH_D</vt:lpstr>
      <vt:lpstr>YKM_ALL_FCUR_D</vt:lpstr>
      <vt:lpstr>KINDD</vt:lpstr>
      <vt:lpstr>DTRD</vt:lpstr>
      <vt:lpstr>DEBT_TERM1</vt:lpstr>
      <vt:lpstr>DEBT_TERM2</vt:lpstr>
      <vt:lpstr>AMOUNT_OF_DEBT</vt:lpstr>
      <vt:lpstr>AVERAGE_CIRCULATION</vt:lpstr>
      <vt:lpstr>AVERAGE_RATE</vt:lpstr>
      <vt:lpstr>AVERAGE_TO_REPAYMENT</vt:lpstr>
      <vt:lpstr>AVGDTERM</vt:lpstr>
      <vt:lpstr>BY_AVERAGE_TERM</vt:lpstr>
      <vt:lpstr>BY_CREDITOR_TYPE</vt:lpstr>
      <vt:lpstr>BY_INTEREST_RATE</vt:lpstr>
      <vt:lpstr>BY_REPAYMENT_CURR</vt:lpstr>
      <vt:lpstr>CHANGE_OF_STRUCTURE</vt:lpstr>
      <vt:lpstr>CK_05</vt:lpstr>
      <vt:lpstr>CK_05C6</vt:lpstr>
      <vt:lpstr>CK_05G6</vt:lpstr>
      <vt:lpstr>CKMDEUR</vt:lpstr>
      <vt:lpstr>MKT2_EUR!CKMDUAH</vt:lpstr>
      <vt:lpstr>CKMDUAH</vt:lpstr>
      <vt:lpstr>CKMDUSD</vt:lpstr>
      <vt:lpstr>CKMPERC</vt:lpstr>
      <vt:lpstr>CKMUAH</vt:lpstr>
      <vt:lpstr>CKMUSD</vt:lpstr>
      <vt:lpstr>CUR_CMP1</vt:lpstr>
      <vt:lpstr>CUR_CMPD4</vt:lpstr>
      <vt:lpstr>CUR_CMPD5</vt:lpstr>
      <vt:lpstr>CUR_CMPEXT</vt:lpstr>
      <vt:lpstr>CUR_CMPEXTD4</vt:lpstr>
      <vt:lpstr>CUR_CMPEXTD5</vt:lpstr>
      <vt:lpstr>CUR_CMPEXTKD4</vt:lpstr>
      <vt:lpstr>CUR_CMPEXTKD5</vt:lpstr>
      <vt:lpstr>CUR_CMPEXTKIND</vt:lpstr>
      <vt:lpstr>CUR_CMPS1</vt:lpstr>
      <vt:lpstr>CUR_CMPS1D4</vt:lpstr>
      <vt:lpstr>CUR_CMPS1D5</vt:lpstr>
      <vt:lpstr>CUR_CMPS2</vt:lpstr>
      <vt:lpstr>CUR_CMPS2D4</vt:lpstr>
      <vt:lpstr>CUR_CMPS2D5</vt:lpstr>
      <vt:lpstr>CURNAME</vt:lpstr>
      <vt:lpstr>CURNAMECUR</vt:lpstr>
      <vt:lpstr>CURNAMEKIND</vt:lpstr>
      <vt:lpstr>DDELIMER</vt:lpstr>
      <vt:lpstr>DEBT_AS_OF_CURR_YEAR</vt:lpstr>
      <vt:lpstr>DEBT_AS_OF_DATE</vt:lpstr>
      <vt:lpstr>DEBT_AS_OF_DATE_BY_AVARAGE_TERM</vt:lpstr>
      <vt:lpstr>DEBT_BY_CONVENTIONAKITY</vt:lpstr>
      <vt:lpstr>DEBT_BY_RATE_TYPE</vt:lpstr>
      <vt:lpstr>DEBT_BY_REPAYMENT</vt:lpstr>
      <vt:lpstr>DEBT_CURR_STRUCT</vt:lpstr>
      <vt:lpstr>DEBT_LAST_5_YEARS</vt:lpstr>
      <vt:lpstr>DEBT_LAST_5_YEARS_PERCENT</vt:lpstr>
      <vt:lpstr>DEBT_LAST_5_YEARS_UAH</vt:lpstr>
      <vt:lpstr>DEBT_LAST_5_YEARS_USD</vt:lpstr>
      <vt:lpstr>DEBT_STATE</vt:lpstr>
      <vt:lpstr>DEBT_TOTAL</vt:lpstr>
      <vt:lpstr>DKRSTATE</vt:lpstr>
      <vt:lpstr>DKT</vt:lpstr>
      <vt:lpstr>DMLMLR</vt:lpstr>
      <vt:lpstr>DREPORTDATE</vt:lpstr>
      <vt:lpstr>DRUN</vt:lpstr>
      <vt:lpstr>DSESSION</vt:lpstr>
      <vt:lpstr>DT_05</vt:lpstr>
      <vt:lpstr>DTKYPERC</vt:lpstr>
      <vt:lpstr>DTKYUAH</vt:lpstr>
      <vt:lpstr>DTKYUSD</vt:lpstr>
      <vt:lpstr>DTMDUAH</vt:lpstr>
      <vt:lpstr>DTMDUSD</vt:lpstr>
      <vt:lpstr>DTMPERC</vt:lpstr>
      <vt:lpstr>DTMUAH</vt:lpstr>
      <vt:lpstr>DTMUSD</vt:lpstr>
      <vt:lpstr>DTR</vt:lpstr>
      <vt:lpstr>YK_ALL!DTYPERC</vt:lpstr>
      <vt:lpstr>DTYPERC</vt:lpstr>
      <vt:lpstr>YK_ALL!DTYUAH</vt:lpstr>
      <vt:lpstr>DTYUAH</vt:lpstr>
      <vt:lpstr>YK_ALL!DTYUSD</vt:lpstr>
      <vt:lpstr>DTYUSD</vt:lpstr>
      <vt:lpstr>EUR</vt:lpstr>
      <vt:lpstr>EXCH_RATE_TO_UAH</vt:lpstr>
      <vt:lpstr>EXCH_RATE_TO_USD</vt:lpstr>
      <vt:lpstr>EXTENDED</vt:lpstr>
      <vt:lpstr>INCLUDING</vt:lpstr>
      <vt:lpstr>KINDCMP</vt:lpstr>
      <vt:lpstr>KINDKMPD4</vt:lpstr>
      <vt:lpstr>KINDKMPD5</vt:lpstr>
      <vt:lpstr>ORIGINAL</vt:lpstr>
      <vt:lpstr>RATEGROUPKIND</vt:lpstr>
      <vt:lpstr>RATEKIND</vt:lpstr>
      <vt:lpstr>RATENAMEALL</vt:lpstr>
      <vt:lpstr>RATENAMESTRUCT1</vt:lpstr>
      <vt:lpstr>RATENAMESTRUCT2</vt:lpstr>
      <vt:lpstr>RATENAMESTRUCTCMP</vt:lpstr>
      <vt:lpstr>RATENAMESTRUCTCMP2</vt:lpstr>
      <vt:lpstr>RCMP2D4</vt:lpstr>
      <vt:lpstr>RCMP2D5</vt:lpstr>
      <vt:lpstr>RCMPD4</vt:lpstr>
      <vt:lpstr>RCMPD5</vt:lpstr>
      <vt:lpstr>REPORT_CUR_ENG</vt:lpstr>
      <vt:lpstr>REPORT_CUR_UAH</vt:lpstr>
      <vt:lpstr>REPORT_LANG</vt:lpstr>
      <vt:lpstr>REPORT_REGIME</vt:lpstr>
      <vt:lpstr>SRATED</vt:lpstr>
      <vt:lpstr>STRMAXDATE</vt:lpstr>
      <vt:lpstr>STRPRESENTDATE</vt:lpstr>
      <vt:lpstr>UAH</vt:lpstr>
      <vt:lpstr>USD</vt:lpstr>
      <vt:lpstr>VALEUR</vt:lpstr>
      <vt:lpstr>VALUAH</vt:lpstr>
      <vt:lpstr>VALUSD</vt:lpstr>
      <vt:lpstr>VALVAL</vt:lpstr>
      <vt:lpstr>YKT2EUR</vt:lpstr>
      <vt:lpstr>YKT2_EUR!YKT2UAH</vt:lpstr>
      <vt:lpstr>YKT2UAH</vt:lpstr>
      <vt:lpstr>YKT2USD</vt:lpstr>
      <vt:lpstr>YKT2_EUR!YKT2UФР</vt:lpstr>
      <vt:lpstr>YKT2UФР</vt:lpstr>
    </vt:vector>
  </TitlesOfParts>
  <Company>rybalko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rybalko</dc:creator>
  <cp:lastModifiedBy>ЗІНЧЕНКО Ірина Валеріївна</cp:lastModifiedBy>
  <cp:lastPrinted>2026-09-25T06:26:19Z</cp:lastPrinted>
  <dcterms:created xsi:type="dcterms:W3CDTF">2006-12-14T15:58:30Z</dcterms:created>
  <dcterms:modified xsi:type="dcterms:W3CDTF">2026-09-25T06:31:32Z</dcterms:modified>
</cp:coreProperties>
</file>